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835" windowHeight="7365" activeTab="1"/>
  </bookViews>
  <sheets>
    <sheet name="解説" sheetId="1" r:id="rId1"/>
    <sheet name="Fig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<sst xmlns="http://schemas.openxmlformats.org/spreadsheetml/2006/main" count="255" uniqueCount="198">
  <si>
    <t>Focusing point</t>
  </si>
  <si>
    <t>Start point</t>
  </si>
  <si>
    <t>Glass-water interface</t>
  </si>
  <si>
    <t>Ref index of glass</t>
  </si>
  <si>
    <t>#7</t>
  </si>
  <si>
    <t>#13</t>
  </si>
  <si>
    <t>#19</t>
  </si>
  <si>
    <t>#25</t>
  </si>
  <si>
    <t>#31</t>
  </si>
  <si>
    <t>#37</t>
  </si>
  <si>
    <t>n1</t>
  </si>
  <si>
    <t>n2</t>
  </si>
  <si>
    <t>Ref index of water</t>
  </si>
  <si>
    <t>θ1</t>
  </si>
  <si>
    <t>θ2</t>
  </si>
  <si>
    <t>1/Slope inside water</t>
  </si>
  <si>
    <t>Virtual light path in water</t>
  </si>
  <si>
    <t>Material inside immersed in the water</t>
  </si>
  <si>
    <t>n3</t>
  </si>
  <si>
    <t>radius®</t>
  </si>
  <si>
    <t>a</t>
  </si>
  <si>
    <t>b</t>
  </si>
  <si>
    <t>c</t>
  </si>
  <si>
    <t>tanθ2</t>
  </si>
  <si>
    <t>sinθ2</t>
  </si>
  <si>
    <t>2tanθ2(X2-Xc-Y2tanθ2)-2Yc</t>
  </si>
  <si>
    <t>Y31</t>
  </si>
  <si>
    <t>Y32</t>
  </si>
  <si>
    <r>
      <t>b</t>
    </r>
    <r>
      <rPr>
        <vertAlign val="superscript"/>
        <sz val="11"/>
        <rFont val="Georgia"/>
        <family val="1"/>
      </rPr>
      <t>2</t>
    </r>
    <r>
      <rPr>
        <sz val="11"/>
        <rFont val="Georgia"/>
        <family val="1"/>
      </rPr>
      <t>-4ac</t>
    </r>
  </si>
  <si>
    <r>
      <t>tanθ2</t>
    </r>
    <r>
      <rPr>
        <vertAlign val="superscript"/>
        <sz val="9"/>
        <rFont val="Georgia"/>
        <family val="1"/>
      </rPr>
      <t>2</t>
    </r>
    <r>
      <rPr>
        <sz val="9"/>
        <rFont val="Georgia"/>
        <family val="1"/>
      </rPr>
      <t>+1</t>
    </r>
  </si>
  <si>
    <t>X2-Xc-Y2tanθ2</t>
  </si>
  <si>
    <t>X31</t>
  </si>
  <si>
    <t>X32</t>
  </si>
  <si>
    <t>Y</t>
  </si>
  <si>
    <r>
      <t>(X2-Xc-Y2tanθ2)</t>
    </r>
    <r>
      <rPr>
        <vertAlign val="superscript"/>
        <sz val="8"/>
        <rFont val="Georgia"/>
        <family val="1"/>
      </rPr>
      <t>2</t>
    </r>
    <r>
      <rPr>
        <sz val="8"/>
        <rFont val="Georgia"/>
        <family val="1"/>
      </rPr>
      <t>+Yc</t>
    </r>
    <r>
      <rPr>
        <vertAlign val="superscript"/>
        <sz val="8"/>
        <rFont val="Georgia"/>
        <family val="1"/>
      </rPr>
      <t>2</t>
    </r>
    <r>
      <rPr>
        <sz val="8"/>
        <rFont val="Georgia"/>
        <family val="1"/>
      </rPr>
      <t>-R</t>
    </r>
    <r>
      <rPr>
        <vertAlign val="superscript"/>
        <sz val="8"/>
        <rFont val="Georgia"/>
        <family val="1"/>
      </rPr>
      <t>2</t>
    </r>
  </si>
  <si>
    <r>
      <t>R</t>
    </r>
    <r>
      <rPr>
        <vertAlign val="superscript"/>
        <sz val="11"/>
        <rFont val="Georgia"/>
        <family val="1"/>
      </rPr>
      <t>2</t>
    </r>
    <r>
      <rPr>
        <sz val="11"/>
        <rFont val="Georgia"/>
        <family val="1"/>
      </rPr>
      <t>-(Y-Yc)</t>
    </r>
    <r>
      <rPr>
        <vertAlign val="superscript"/>
        <sz val="11"/>
        <rFont val="Georgia"/>
        <family val="1"/>
      </rPr>
      <t>2</t>
    </r>
  </si>
  <si>
    <t>X(1)</t>
  </si>
  <si>
    <t>X(2)</t>
  </si>
  <si>
    <t>Tan(1)</t>
  </si>
  <si>
    <t>Tan(2)</t>
  </si>
  <si>
    <t>(1)</t>
  </si>
  <si>
    <t>X31</t>
  </si>
  <si>
    <t>(2)</t>
  </si>
  <si>
    <t>Max-Y</t>
  </si>
  <si>
    <t>Corresponding X</t>
  </si>
  <si>
    <t>Xs</t>
  </si>
  <si>
    <t>Ys</t>
  </si>
  <si>
    <t>α</t>
  </si>
  <si>
    <t>R</t>
  </si>
  <si>
    <t>Xc</t>
  </si>
  <si>
    <t>Yc</t>
  </si>
  <si>
    <t>n</t>
  </si>
  <si>
    <t>Final 3</t>
  </si>
  <si>
    <t>X2</t>
  </si>
  <si>
    <t>Y2</t>
  </si>
  <si>
    <t>X3</t>
  </si>
  <si>
    <t>Y3</t>
  </si>
  <si>
    <t>Xc</t>
  </si>
  <si>
    <t>Yc</t>
  </si>
  <si>
    <t>sinθ4</t>
  </si>
  <si>
    <t>θ4</t>
  </si>
  <si>
    <t>cosα</t>
  </si>
  <si>
    <t>sinα</t>
  </si>
  <si>
    <t>tanα</t>
  </si>
  <si>
    <t>α</t>
  </si>
  <si>
    <t>θ3</t>
  </si>
  <si>
    <t>β</t>
  </si>
  <si>
    <t>Mid X3</t>
  </si>
  <si>
    <t>Mid Y3</t>
  </si>
  <si>
    <t>Center X</t>
  </si>
  <si>
    <t>Center Y</t>
  </si>
  <si>
    <t>Mid X2</t>
  </si>
  <si>
    <t>Mid Y2</t>
  </si>
  <si>
    <t>Far X1</t>
  </si>
  <si>
    <t>Far Y1</t>
  </si>
  <si>
    <t>Phase of X3 &amp; Y3</t>
  </si>
  <si>
    <t>So far, I calculated</t>
  </si>
  <si>
    <t>Mid X4</t>
  </si>
  <si>
    <t>Mid Y4</t>
  </si>
  <si>
    <t>cosθ3</t>
  </si>
  <si>
    <t>sinθ3</t>
  </si>
  <si>
    <t>X4-Xc</t>
  </si>
  <si>
    <t>Y4-Yc</t>
  </si>
  <si>
    <t>Light emission inside the specimen</t>
  </si>
  <si>
    <t>Light emission from the specimen</t>
  </si>
  <si>
    <t>Mid X5</t>
  </si>
  <si>
    <t>Mid Y5</t>
  </si>
  <si>
    <t>sinθ3</t>
  </si>
  <si>
    <t>Unit Vx</t>
  </si>
  <si>
    <t>Unit Vy</t>
  </si>
  <si>
    <t>Y4-Yf</t>
  </si>
  <si>
    <t>#1</t>
  </si>
  <si>
    <t>SPECIMEN</t>
  </si>
  <si>
    <t>Far Yf</t>
  </si>
  <si>
    <t>Far Xf</t>
  </si>
  <si>
    <t>#3</t>
  </si>
  <si>
    <t>#5</t>
  </si>
  <si>
    <t>#9</t>
  </si>
  <si>
    <t>#11</t>
  </si>
  <si>
    <t>#15</t>
  </si>
  <si>
    <t>#17</t>
  </si>
  <si>
    <t>#21</t>
  </si>
  <si>
    <t>#23</t>
  </si>
  <si>
    <t>#27</t>
  </si>
  <si>
    <t>#29</t>
  </si>
  <si>
    <t>#33</t>
  </si>
  <si>
    <t>#35</t>
  </si>
  <si>
    <t>#39</t>
  </si>
  <si>
    <t>#41</t>
  </si>
  <si>
    <t>Cover thickness</t>
  </si>
  <si>
    <t>T</t>
  </si>
  <si>
    <t>Focusing point corrected with cover-slip thickness</t>
  </si>
  <si>
    <r>
      <t>Y</t>
    </r>
    <r>
      <rPr>
        <vertAlign val="subscript"/>
        <sz val="14"/>
        <color indexed="12"/>
        <rFont val="Georgia"/>
        <family val="1"/>
      </rPr>
      <t>end</t>
    </r>
  </si>
  <si>
    <r>
      <t>X</t>
    </r>
    <r>
      <rPr>
        <vertAlign val="subscript"/>
        <sz val="14"/>
        <color indexed="12"/>
        <rFont val="Georgia"/>
        <family val="1"/>
      </rPr>
      <t>end</t>
    </r>
  </si>
  <si>
    <t>n0</t>
  </si>
  <si>
    <t>Ref index of cover slip</t>
  </si>
  <si>
    <t>sinθ0</t>
  </si>
  <si>
    <t>tanθ0</t>
  </si>
  <si>
    <t>Inside cover slip</t>
  </si>
  <si>
    <t>T(tanθ1-tanθ0)</t>
  </si>
  <si>
    <t>T(1-tanθ0
/tanθ1)</t>
  </si>
  <si>
    <t>ΔX correction of Xf</t>
  </si>
  <si>
    <t>ΔY correction of Yf</t>
  </si>
  <si>
    <t>Through point on the cover slip</t>
  </si>
  <si>
    <t xml:space="preserve"> X1'</t>
  </si>
  <si>
    <t>Y1'</t>
  </si>
  <si>
    <t>Line through focusing point</t>
  </si>
  <si>
    <t>Cover slip line</t>
  </si>
  <si>
    <t>X</t>
  </si>
  <si>
    <t>Y</t>
  </si>
  <si>
    <t>T=</t>
  </si>
  <si>
    <r>
      <t>n</t>
    </r>
    <r>
      <rPr>
        <sz val="10"/>
        <color indexed="12"/>
        <rFont val="Georgia"/>
        <family val="1"/>
      </rPr>
      <t>0</t>
    </r>
    <r>
      <rPr>
        <sz val="11"/>
        <color indexed="12"/>
        <rFont val="Georgia"/>
        <family val="1"/>
      </rPr>
      <t>=</t>
    </r>
  </si>
  <si>
    <r>
      <t>n</t>
    </r>
    <r>
      <rPr>
        <sz val="10"/>
        <color indexed="12"/>
        <rFont val="Georgia"/>
        <family val="1"/>
      </rPr>
      <t>1</t>
    </r>
    <r>
      <rPr>
        <sz val="11"/>
        <color indexed="12"/>
        <rFont val="Georgia"/>
        <family val="1"/>
      </rPr>
      <t>=</t>
    </r>
  </si>
  <si>
    <r>
      <t>n</t>
    </r>
    <r>
      <rPr>
        <sz val="10"/>
        <color indexed="12"/>
        <rFont val="Georgia"/>
        <family val="1"/>
      </rPr>
      <t>2</t>
    </r>
    <r>
      <rPr>
        <sz val="11"/>
        <color indexed="12"/>
        <rFont val="Georgia"/>
        <family val="1"/>
      </rPr>
      <t>=</t>
    </r>
  </si>
  <si>
    <r>
      <t>n</t>
    </r>
    <r>
      <rPr>
        <sz val="10"/>
        <color indexed="12"/>
        <rFont val="Georgia"/>
        <family val="1"/>
      </rPr>
      <t>3</t>
    </r>
    <r>
      <rPr>
        <sz val="11"/>
        <color indexed="12"/>
        <rFont val="Georgia"/>
        <family val="1"/>
      </rPr>
      <t>=</t>
    </r>
  </si>
  <si>
    <t>Focusing point</t>
  </si>
  <si>
    <t>Center X</t>
  </si>
  <si>
    <t>Center Y</t>
  </si>
  <si>
    <t>n index of medium</t>
  </si>
  <si>
    <t>Yend</t>
  </si>
  <si>
    <t>Specimen immersed in the medium</t>
  </si>
  <si>
    <t>Center X</t>
  </si>
  <si>
    <t>Center Y</t>
  </si>
  <si>
    <t>n3</t>
  </si>
  <si>
    <t>T</t>
  </si>
  <si>
    <t>：共焦点の光学系での集光点の定義</t>
  </si>
  <si>
    <t>　スライドガラス、試料などない条件での集光点に相当（図中の灰色の破線）</t>
  </si>
  <si>
    <t>：標準的な数値例</t>
  </si>
  <si>
    <t>：赤字は数値を定義する箇所</t>
  </si>
  <si>
    <t>：試料（この場合、丸い破線で示した物体）の位置などの条件設定</t>
  </si>
  <si>
    <t>：位置、屈折率、半径</t>
  </si>
  <si>
    <r>
      <t>radius</t>
    </r>
    <r>
      <rPr>
        <sz val="10"/>
        <rFont val="ＭＳ Ｐ明朝"/>
        <family val="1"/>
      </rPr>
      <t>（</t>
    </r>
    <r>
      <rPr>
        <sz val="10"/>
        <rFont val="Georgia"/>
        <family val="1"/>
      </rPr>
      <t>R)</t>
    </r>
  </si>
  <si>
    <t>（左側のパラメタ）：最終的な線をどこまで引くかの定義（作図上の都合のため、特に変更不要）</t>
  </si>
  <si>
    <t>Virtual light path in water</t>
  </si>
  <si>
    <t>Cover slip</t>
  </si>
  <si>
    <r>
      <t>n</t>
    </r>
    <r>
      <rPr>
        <sz val="9"/>
        <rFont val="Georgia"/>
        <family val="1"/>
      </rPr>
      <t>0</t>
    </r>
  </si>
  <si>
    <t>（右側のパラメタ）：カバーガラスの屈折率と厚み</t>
  </si>
  <si>
    <t>n of immersion medium</t>
  </si>
  <si>
    <t>n index of medium</t>
  </si>
  <si>
    <r>
      <t>n</t>
    </r>
    <r>
      <rPr>
        <sz val="9"/>
        <rFont val="Georgia"/>
        <family val="1"/>
      </rPr>
      <t>1</t>
    </r>
  </si>
  <si>
    <r>
      <t>n</t>
    </r>
    <r>
      <rPr>
        <sz val="9"/>
        <rFont val="Georgia"/>
        <family val="1"/>
      </rPr>
      <t>2</t>
    </r>
  </si>
  <si>
    <r>
      <t>：</t>
    </r>
    <r>
      <rPr>
        <sz val="10"/>
        <rFont val="ＭＳ Ｐ明朝"/>
        <family val="1"/>
      </rPr>
      <t>対物側と試料側の溶媒の屈折率</t>
    </r>
  </si>
  <si>
    <t>：対物側と試料側の溶媒の屈折率</t>
  </si>
  <si>
    <t>Cover_Slip_n</t>
  </si>
  <si>
    <t>Cover_Slip_Thickeness</t>
  </si>
  <si>
    <t>Focusing_Point_X</t>
  </si>
  <si>
    <t>Focusing_Point_Y</t>
  </si>
  <si>
    <t>Medium_n</t>
  </si>
  <si>
    <t>Reset_Parameters</t>
  </si>
  <si>
    <t>Specimen_n</t>
  </si>
  <si>
    <t>Specimen_Position_X</t>
  </si>
  <si>
    <t>Specimen_Position_Y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</si>
  <si>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</si>
  <si>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</si>
  <si>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</si>
  <si>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</si>
  <si>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</si>
  <si>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</si>
  <si>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</si>
  <si>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</si>
  <si>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</si>
  <si>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カバーガラスの屈折率を少しずつ変える</t>
  </si>
  <si>
    <t>カバーガラスの厚みを少しずつ変える</t>
  </si>
  <si>
    <t>集光点の横方向の位置を少しずつ変える</t>
  </si>
  <si>
    <t>集光点の縦方向の位置を少しずつ変える</t>
  </si>
  <si>
    <t>試料を入れている溶媒の屈折率を少しずつ変える</t>
  </si>
  <si>
    <t>Immersion_Medium_n</t>
  </si>
  <si>
    <t>対物側溶媒の屈折率を少しずつ変える</t>
  </si>
  <si>
    <t>試料の横方向の位置を少しずつ変える</t>
  </si>
  <si>
    <t>試料の縦方向の位置を少しずつ変える</t>
  </si>
  <si>
    <t>10)</t>
  </si>
  <si>
    <t>パラメタのリセット</t>
  </si>
  <si>
    <t>あらかじめ「ツール」⇒「オプション」⇒「セキュリティ」で、「マクロセキュリティ」を（低）にしてから、再起動して実施。</t>
  </si>
  <si>
    <t>§パラメータの設定方法　（ワークシート「Fig」上で、パラメタはセット）</t>
  </si>
  <si>
    <t xml:space="preserve">§マクロ機能　（「ツール」⇒「マクロ」⇒「マクロ」で実効。ワークシート[Fig]上で結果を表示） </t>
  </si>
  <si>
    <t>：標準的な数値例</t>
  </si>
  <si>
    <t>Immersion medium</t>
  </si>
  <si>
    <t>Specimen medium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</si>
</sst>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Georgia"/>
      <family val="1"/>
    </font>
    <font>
      <sz val="11"/>
      <name val="Georgia"/>
      <family val="1"/>
    </font>
    <font>
      <vertAlign val="superscript"/>
      <sz val="9"/>
      <name val="Georgia"/>
      <family val="1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Georgia"/>
      <family val="1"/>
    </font>
    <font>
      <vertAlign val="superscript"/>
      <sz val="8"/>
      <name val="Georgia"/>
      <family val="1"/>
    </font>
    <font>
      <vertAlign val="superscript"/>
      <sz val="11"/>
      <name val="Georgia"/>
      <family val="1"/>
    </font>
    <font>
      <sz val="11"/>
      <color indexed="12"/>
      <name val="Georgia"/>
      <family val="1"/>
    </font>
    <font>
      <sz val="10"/>
      <name val="Georgia"/>
      <family val="1"/>
    </font>
    <font>
      <sz val="9"/>
      <color indexed="12"/>
      <name val="Georgia"/>
      <family val="1"/>
    </font>
    <font>
      <b/>
      <sz val="11"/>
      <color indexed="12"/>
      <name val="Georgia"/>
      <family val="1"/>
    </font>
    <font>
      <sz val="10"/>
      <color indexed="12"/>
      <name val="Georgia"/>
      <family val="1"/>
    </font>
    <font>
      <sz val="10"/>
      <color indexed="12"/>
      <name val="ＭＳ Ｐゴシック"/>
      <family val="3"/>
    </font>
    <font>
      <sz val="9"/>
      <color indexed="23"/>
      <name val="Georgia"/>
      <family val="1"/>
    </font>
    <font>
      <vertAlign val="subscript"/>
      <sz val="14"/>
      <color indexed="12"/>
      <name val="Georgia"/>
      <family val="1"/>
    </font>
    <font>
      <sz val="9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Georgia"/>
      <family val="1"/>
    </font>
    <font>
      <sz val="10"/>
      <color indexed="23"/>
      <name val="Georgia"/>
      <family val="1"/>
    </font>
    <font>
      <sz val="10"/>
      <name val="ＭＳ Ｐ明朝"/>
      <family val="1"/>
    </font>
    <font>
      <sz val="12"/>
      <name val="Georgia"/>
      <family val="1"/>
    </font>
    <font>
      <sz val="10"/>
      <color indexed="23"/>
      <name val="ＭＳ Ｐ明朝"/>
      <family val="1"/>
    </font>
    <font>
      <sz val="9"/>
      <color indexed="23"/>
      <name val="ＭＳ Ｐ明朝"/>
      <family val="1"/>
    </font>
    <font>
      <sz val="9"/>
      <color indexed="23"/>
      <name val="ＭＳ Ｐゴシック"/>
      <family val="3"/>
    </font>
    <font>
      <sz val="11"/>
      <name val="ＭＳ Ｐ明朝"/>
      <family val="1"/>
    </font>
    <font>
      <sz val="12"/>
      <color indexed="12"/>
      <name val="HG白洲太楷書体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1" fontId="9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176" fontId="13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177" fontId="14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5" fillId="36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5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17" fillId="36" borderId="0" xfId="0" applyFont="1" applyFill="1" applyAlignment="1">
      <alignment horizontal="right" vertical="center"/>
    </xf>
    <xf numFmtId="176" fontId="17" fillId="36" borderId="0" xfId="0" applyNumberFormat="1" applyFont="1" applyFill="1" applyAlignment="1">
      <alignment horizontal="left" vertical="center"/>
    </xf>
    <xf numFmtId="0" fontId="18" fillId="36" borderId="0" xfId="0" applyFont="1" applyFill="1" applyAlignment="1">
      <alignment horizontal="right" vertical="center"/>
    </xf>
    <xf numFmtId="176" fontId="18" fillId="36" borderId="0" xfId="0" applyNumberFormat="1" applyFont="1" applyFill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vertical="center"/>
    </xf>
    <xf numFmtId="176" fontId="21" fillId="34" borderId="10" xfId="0" applyNumberFormat="1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178" fontId="17" fillId="36" borderId="0" xfId="0" applyNumberFormat="1" applyFont="1" applyFill="1" applyAlignment="1">
      <alignment horizontal="left" vertical="center"/>
    </xf>
    <xf numFmtId="176" fontId="8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13" fillId="36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178" fontId="24" fillId="33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4" fillId="35" borderId="10" xfId="0" applyFont="1" applyFill="1" applyBorder="1" applyAlignment="1">
      <alignment horizontal="center" vertical="center"/>
    </xf>
    <xf numFmtId="176" fontId="24" fillId="35" borderId="10" xfId="0" applyNumberFormat="1" applyFont="1" applyFill="1" applyBorder="1" applyAlignment="1">
      <alignment horizontal="center" vertical="center"/>
    </xf>
    <xf numFmtId="178" fontId="24" fillId="35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176" fontId="14" fillId="36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36" borderId="0" xfId="0" applyFont="1" applyFill="1" applyAlignment="1">
      <alignment horizontal="left" vertical="center"/>
    </xf>
    <xf numFmtId="178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005"/>
          <c:w val="0.97075"/>
          <c:h val="0.96675"/>
        </c:manualLayout>
      </c:layout>
      <c:scatterChart>
        <c:scatterStyle val="lineMarker"/>
        <c:varyColors val="0"/>
        <c:ser>
          <c:idx val="19"/>
          <c:order val="0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Fig!$H$10:$H$11</c:f>
              <c:numCache/>
            </c:numRef>
          </c:xVal>
          <c:yVal>
            <c:numRef>
              <c:f>Fig!$I$10:$I$11</c:f>
              <c:numCache/>
            </c:numRef>
          </c:yVal>
          <c:smooth val="0"/>
        </c:ser>
        <c:ser>
          <c:idx val="18"/>
          <c:order val="1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Fig!$F$10:$F$11</c:f>
              <c:numCache/>
            </c:numRef>
          </c:xVal>
          <c:yVal>
            <c:numRef>
              <c:f>Fig!$G$10:$G$11</c:f>
              <c:numCache/>
            </c:numRef>
          </c:yVal>
          <c:smooth val="0"/>
        </c:ser>
        <c:ser>
          <c:idx val="20"/>
          <c:order val="2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Fig!$J$10:$J$11</c:f>
              <c:numCache/>
            </c:numRef>
          </c:xVal>
          <c:yVal>
            <c:numRef>
              <c:f>Fig!$K$10:$K$11</c:f>
              <c:numCache/>
            </c:numRef>
          </c:yVal>
          <c:smooth val="0"/>
        </c:ser>
        <c:ser>
          <c:idx val="22"/>
          <c:order val="3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Fig!$N$10:$N$11</c:f>
              <c:numCache/>
            </c:numRef>
          </c:xVal>
          <c:yVal>
            <c:numRef>
              <c:f>Fig!$O$10:$O$11</c:f>
              <c:numCache/>
            </c:numRef>
          </c:yVal>
          <c:smooth val="0"/>
        </c:ser>
        <c:ser>
          <c:idx val="21"/>
          <c:order val="4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Fig!$L$10:$L$11</c:f>
              <c:numCache/>
            </c:numRef>
          </c:xVal>
          <c:yVal>
            <c:numRef>
              <c:f>Fig!$M$10:$M$11</c:f>
              <c:numCache/>
            </c:numRef>
          </c:yVal>
          <c:smooth val="0"/>
        </c:ser>
        <c:ser>
          <c:idx val="23"/>
          <c:order val="5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Fig!$P$10:$P$11</c:f>
              <c:numCache/>
            </c:numRef>
          </c:xVal>
          <c:yVal>
            <c:numRef>
              <c:f>Fig!$Q$10:$Q$11</c:f>
              <c:numCache/>
            </c:numRef>
          </c:yVal>
          <c:smooth val="0"/>
        </c:ser>
        <c:ser>
          <c:idx val="24"/>
          <c:order val="6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Fig!$T$10:$T$11</c:f>
              <c:numCache/>
            </c:numRef>
          </c:xVal>
          <c:yVal>
            <c:numRef>
              <c:f>Fig!$U$10:$U$11</c:f>
              <c:numCache/>
            </c:numRef>
          </c:yVal>
          <c:smooth val="0"/>
        </c:ser>
        <c:ser>
          <c:idx val="25"/>
          <c:order val="7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Fig!$V$10:$V$11</c:f>
              <c:numCache/>
            </c:numRef>
          </c:xVal>
          <c:yVal>
            <c:numRef>
              <c:f>Fig!$W$10:$W$11</c:f>
              <c:numCache/>
            </c:numRef>
          </c:yVal>
          <c:smooth val="0"/>
        </c:ser>
        <c:ser>
          <c:idx val="26"/>
          <c:order val="8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Fig!$X$10:$X$11</c:f>
              <c:numCache/>
            </c:numRef>
          </c:xVal>
          <c:yVal>
            <c:numRef>
              <c:f>Fig!$Y$10:$Y$11</c:f>
              <c:numCache/>
            </c:numRef>
          </c:yVal>
          <c:smooth val="0"/>
        </c:ser>
        <c:ser>
          <c:idx val="27"/>
          <c:order val="9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Fig!$Z$10:$Z$11</c:f>
              <c:numCache/>
            </c:numRef>
          </c:xVal>
          <c:yVal>
            <c:numRef>
              <c:f>Fig!$AA$10:$AA$11</c:f>
              <c:numCache/>
            </c:numRef>
          </c:yVal>
          <c:smooth val="0"/>
        </c:ser>
        <c:ser>
          <c:idx val="28"/>
          <c:order val="10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Fig!$AB$10:$AB$11</c:f>
              <c:numCache/>
            </c:numRef>
          </c:xVal>
          <c:yVal>
            <c:numRef>
              <c:f>Fig!$AC$10:$AC$11</c:f>
              <c:numCache/>
            </c:numRef>
          </c:yVal>
          <c:smooth val="0"/>
        </c:ser>
        <c:ser>
          <c:idx val="13"/>
          <c:order val="1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Fig!$AB$2:$AB$7</c:f>
              <c:numCache/>
            </c:numRef>
          </c:xVal>
          <c:yVal>
            <c:numRef>
              <c:f>Fig!$AC$2:$AC$7</c:f>
              <c:numCache/>
            </c:numRef>
          </c:yVal>
          <c:smooth val="0"/>
        </c:ser>
        <c:ser>
          <c:idx val="14"/>
          <c:order val="12"/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Fig!$AX$4:$AX$104</c:f>
              <c:numCache/>
            </c:numRef>
          </c:xVal>
          <c:yVal>
            <c:numRef>
              <c:f>Fig!$AY$4:$AY$104</c:f>
              <c:numCache/>
            </c:numRef>
          </c:yVal>
          <c:smooth val="0"/>
        </c:ser>
        <c:ser>
          <c:idx val="44"/>
          <c:order val="13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Fig!$D$10:$D$11</c:f>
              <c:numCache/>
            </c:numRef>
          </c:xVal>
          <c:yVal>
            <c:numRef>
              <c:f>Fig!$E$10:$E$11</c:f>
              <c:numCache/>
            </c:numRef>
          </c:yVal>
          <c:smooth val="0"/>
        </c:ser>
        <c:ser>
          <c:idx val="16"/>
          <c:order val="14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Fig!$B$10:$B$11</c:f>
              <c:numCache/>
            </c:numRef>
          </c:xVal>
          <c:yVal>
            <c:numRef>
              <c:f>Fig!$C$10:$C$11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Fig!$R$10:$R$11</c:f>
              <c:numCache/>
            </c:numRef>
          </c:xVal>
          <c:yVal>
            <c:numRef>
              <c:f>Fig!$S$10:$S$11</c:f>
              <c:numCache/>
            </c:numRef>
          </c:yVal>
          <c:smooth val="0"/>
        </c:ser>
        <c:ser>
          <c:idx val="0"/>
          <c:order val="1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Fig!$B$2:$B$7</c:f>
              <c:numCache/>
            </c:numRef>
          </c:xVal>
          <c:yVal>
            <c:numRef>
              <c:f>Fig!$C$2:$C$7</c:f>
              <c:numCache/>
            </c:numRef>
          </c:yVal>
          <c:smooth val="0"/>
        </c:ser>
        <c:ser>
          <c:idx val="1"/>
          <c:order val="17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Fig!$D$2:$D$7</c:f>
              <c:numCache/>
            </c:numRef>
          </c:xVal>
          <c:yVal>
            <c:numRef>
              <c:f>Fig!$E$2:$E$7</c:f>
              <c:numCache/>
            </c:numRef>
          </c:yVal>
          <c:smooth val="0"/>
        </c:ser>
        <c:ser>
          <c:idx val="2"/>
          <c:order val="18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Fig!$F$2:$F$7</c:f>
              <c:numCache/>
            </c:numRef>
          </c:xVal>
          <c:yVal>
            <c:numRef>
              <c:f>Fig!$G$2:$G$7</c:f>
              <c:numCache/>
            </c:numRef>
          </c:yVal>
          <c:smooth val="0"/>
        </c:ser>
        <c:ser>
          <c:idx val="3"/>
          <c:order val="19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Fig!$H$2:$H$7</c:f>
              <c:numCache/>
            </c:numRef>
          </c:xVal>
          <c:yVal>
            <c:numRef>
              <c:f>Fig!$I$2:$I$7</c:f>
              <c:numCache/>
            </c:numRef>
          </c:yVal>
          <c:smooth val="0"/>
        </c:ser>
        <c:ser>
          <c:idx val="4"/>
          <c:order val="2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Fig!$J$2:$J$7</c:f>
              <c:numCache/>
            </c:numRef>
          </c:xVal>
          <c:yVal>
            <c:numRef>
              <c:f>Fig!$K$2:$K$7</c:f>
              <c:numCache/>
            </c:numRef>
          </c:yVal>
          <c:smooth val="0"/>
        </c:ser>
        <c:ser>
          <c:idx val="6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Fig!$N$2:$N$7</c:f>
              <c:numCache/>
            </c:numRef>
          </c:xVal>
          <c:yVal>
            <c:numRef>
              <c:f>Fig!$O$2:$O$7</c:f>
              <c:numCache/>
            </c:numRef>
          </c:yVal>
          <c:smooth val="0"/>
        </c:ser>
        <c:ser>
          <c:idx val="5"/>
          <c:order val="2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Fig!$L$2:$L$7</c:f>
              <c:numCache/>
            </c:numRef>
          </c:xVal>
          <c:yVal>
            <c:numRef>
              <c:f>Fig!$M$2:$M$7</c:f>
              <c:numCache/>
            </c:numRef>
          </c:yVal>
          <c:smooth val="0"/>
        </c:ser>
        <c:ser>
          <c:idx val="7"/>
          <c:order val="2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Fig!$P$2:$P$7</c:f>
              <c:numCache/>
            </c:numRef>
          </c:xVal>
          <c:yVal>
            <c:numRef>
              <c:f>Fig!$Q$2:$Q$7</c:f>
              <c:numCache/>
            </c:numRef>
          </c:yVal>
          <c:smooth val="0"/>
        </c:ser>
        <c:ser>
          <c:idx val="8"/>
          <c:order val="2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Fig!$R$2:$R$7</c:f>
              <c:numCache/>
            </c:numRef>
          </c:xVal>
          <c:yVal>
            <c:numRef>
              <c:f>Fig!$S$2:$S$7</c:f>
              <c:numCache/>
            </c:numRef>
          </c:yVal>
          <c:smooth val="0"/>
        </c:ser>
        <c:ser>
          <c:idx val="9"/>
          <c:order val="2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Fig!$T$2:$T$7</c:f>
              <c:numCache/>
            </c:numRef>
          </c:xVal>
          <c:yVal>
            <c:numRef>
              <c:f>Fig!$U$2:$U$7</c:f>
              <c:numCache/>
            </c:numRef>
          </c:yVal>
          <c:smooth val="0"/>
        </c:ser>
        <c:ser>
          <c:idx val="10"/>
          <c:order val="2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Fig!$V$2:$V$7</c:f>
              <c:numCache/>
            </c:numRef>
          </c:xVal>
          <c:yVal>
            <c:numRef>
              <c:f>Fig!$W$2:$W$7</c:f>
              <c:numCache/>
            </c:numRef>
          </c:yVal>
          <c:smooth val="0"/>
        </c:ser>
        <c:ser>
          <c:idx val="11"/>
          <c:order val="27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Fig!$X$2:$X$7</c:f>
              <c:numCache/>
            </c:numRef>
          </c:xVal>
          <c:yVal>
            <c:numRef>
              <c:f>Fig!$Y$2:$Y$7</c:f>
              <c:numCache/>
            </c:numRef>
          </c:yVal>
          <c:smooth val="0"/>
        </c:ser>
        <c:ser>
          <c:idx val="12"/>
          <c:order val="28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Fig!$Z$2:$Z$7</c:f>
              <c:numCache/>
            </c:numRef>
          </c:xVal>
          <c:yVal>
            <c:numRef>
              <c:f>Fig!$AA$2:$AA$7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Fig!$AD$2:$AD$7</c:f>
              <c:numCache/>
            </c:numRef>
          </c:xVal>
          <c:yVal>
            <c:numRef>
              <c:f>Fig!$AE$2:$AE$7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Fig!$AF$2:$AF$7</c:f>
              <c:numCache/>
            </c:numRef>
          </c:xVal>
          <c:yVal>
            <c:numRef>
              <c:f>Fig!$AG$2:$AG$7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Fig!$AH$2:$AH$7</c:f>
              <c:numCache/>
            </c:numRef>
          </c:xVal>
          <c:yVal>
            <c:numRef>
              <c:f>Fig!$AI$2:$AI$7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Fig!$AJ$2:$AJ$7</c:f>
              <c:numCache/>
            </c:numRef>
          </c:xVal>
          <c:yVal>
            <c:numRef>
              <c:f>Fig!$AK$2:$AK$7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Fig!$AL$2:$AL$7</c:f>
              <c:numCache/>
            </c:numRef>
          </c:xVal>
          <c:yVal>
            <c:numRef>
              <c:f>Fig!$AM$2:$AM$7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Fig!$AN$2:$AN$7</c:f>
              <c:numCache/>
            </c:numRef>
          </c:xVal>
          <c:yVal>
            <c:numRef>
              <c:f>Fig!$AO$2:$AO$7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Fig!$AP$2:$AP$7</c:f>
              <c:numCache/>
            </c:numRef>
          </c:xVal>
          <c:yVal>
            <c:numRef>
              <c:f>Fig!$AQ$2:$AQ$7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Fig!$AD$10:$AD$11</c:f>
              <c:numCache/>
            </c:numRef>
          </c:xVal>
          <c:yVal>
            <c:numRef>
              <c:f>Fig!$AE$10:$AE$11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Fig!$AF$10:$AF$11</c:f>
              <c:numCache/>
            </c:numRef>
          </c:xVal>
          <c:yVal>
            <c:numRef>
              <c:f>Fig!$AG$10:$AG$11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Fig!$AH$10:$AH$11</c:f>
              <c:numCache/>
            </c:numRef>
          </c:xVal>
          <c:yVal>
            <c:numRef>
              <c:f>Fig!$AI$10:$AI$11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Fig!$AJ$10:$AJ$11</c:f>
              <c:numCache/>
            </c:numRef>
          </c:xVal>
          <c:yVal>
            <c:numRef>
              <c:f>Fig!$AK$10:$AK$11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Fig!$AL$10:$AL$11</c:f>
              <c:numCache/>
            </c:numRef>
          </c:xVal>
          <c:yVal>
            <c:numRef>
              <c:f>Fig!$AM$10:$AM$11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Fig!$AN$10:$AN$11</c:f>
              <c:numCache/>
            </c:numRef>
          </c:xVal>
          <c:yVal>
            <c:numRef>
              <c:f>Fig!$AO$10:$AO$11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Fig!$AP$10:$AP$11</c:f>
              <c:numCache/>
            </c:numRef>
          </c:xVal>
          <c:yVal>
            <c:numRef>
              <c:f>Fig!$AQ$10:$AQ$11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Fig!$BA$4:$BA$24</c:f>
              <c:numCache/>
            </c:numRef>
          </c:xVal>
          <c:yVal>
            <c:numRef>
              <c:f>Fig!$BB$4:$BB$24</c:f>
              <c:numCache/>
            </c:numRef>
          </c:yVal>
          <c:smooth val="0"/>
        </c:ser>
        <c:axId val="8563038"/>
        <c:axId val="9958479"/>
      </c:scatterChart>
      <c:valAx>
        <c:axId val="8563038"/>
        <c:scaling>
          <c:orientation val="minMax"/>
          <c:max val="150"/>
          <c:min val="-15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9958479"/>
        <c:crosses val="autoZero"/>
        <c:crossBetween val="midCat"/>
        <c:dispUnits/>
        <c:majorUnit val="20"/>
      </c:valAx>
      <c:valAx>
        <c:axId val="9958479"/>
        <c:scaling>
          <c:orientation val="minMax"/>
          <c:max val="150"/>
          <c:min val="-2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856303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2"/>
          <c:w val="0.816"/>
          <c:h val="0.93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Data!$AX$4:$AX$44</c:f>
              <c:numCache/>
            </c:numRef>
          </c:xVal>
          <c:yVal>
            <c:numRef>
              <c:f>Data!$AY$4:$AY$44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Data!$BB$4:$BB$44</c:f>
              <c:numCache/>
            </c:numRef>
          </c:xVal>
          <c:yVal>
            <c:numRef>
              <c:f>Data!$BC$4:$BC$44</c:f>
              <c:numCache/>
            </c:numRef>
          </c:yVal>
          <c:smooth val="0"/>
        </c:ser>
        <c:axId val="22517448"/>
        <c:axId val="1330441"/>
      </c:scatterChart>
      <c:valAx>
        <c:axId val="2251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441"/>
        <c:crosses val="autoZero"/>
        <c:crossBetween val="midCat"/>
        <c:dispUnits/>
      </c:valAx>
      <c:valAx>
        <c:axId val="1330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17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625"/>
          <c:w val="0.124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10</xdr:row>
      <xdr:rowOff>152400</xdr:rowOff>
    </xdr:from>
    <xdr:to>
      <xdr:col>13</xdr:col>
      <xdr:colOff>104775</xdr:colOff>
      <xdr:row>50</xdr:row>
      <xdr:rowOff>19050</xdr:rowOff>
    </xdr:to>
    <xdr:sp>
      <xdr:nvSpPr>
        <xdr:cNvPr id="1" name="Rectangle 4"/>
        <xdr:cNvSpPr>
          <a:spLocks/>
        </xdr:cNvSpPr>
      </xdr:nvSpPr>
      <xdr:spPr>
        <a:xfrm>
          <a:off x="2238375" y="1895475"/>
          <a:ext cx="6515100" cy="688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19050</xdr:rowOff>
    </xdr:from>
    <xdr:to>
      <xdr:col>13</xdr:col>
      <xdr:colOff>219075</xdr:colOff>
      <xdr:row>51</xdr:row>
      <xdr:rowOff>85725</xdr:rowOff>
    </xdr:to>
    <xdr:graphicFrame>
      <xdr:nvGraphicFramePr>
        <xdr:cNvPr id="2" name="グラフ 2"/>
        <xdr:cNvGraphicFramePr/>
      </xdr:nvGraphicFramePr>
      <xdr:xfrm>
        <a:off x="2371725" y="2295525"/>
        <a:ext cx="64960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14</xdr:row>
      <xdr:rowOff>47625</xdr:rowOff>
    </xdr:from>
    <xdr:to>
      <xdr:col>13</xdr:col>
      <xdr:colOff>95250</xdr:colOff>
      <xdr:row>27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219325" y="2495550"/>
          <a:ext cx="6524625" cy="2295525"/>
        </a:xfrm>
        <a:prstGeom prst="rect">
          <a:avLst/>
        </a:prstGeom>
        <a:solidFill>
          <a:srgbClr val="3366FF">
            <a:alpha val="13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12</xdr:row>
      <xdr:rowOff>133350</xdr:rowOff>
    </xdr:from>
    <xdr:to>
      <xdr:col>13</xdr:col>
      <xdr:colOff>76200</xdr:colOff>
      <xdr:row>18</xdr:row>
      <xdr:rowOff>85725</xdr:rowOff>
    </xdr:to>
    <xdr:sp>
      <xdr:nvSpPr>
        <xdr:cNvPr id="4" name="Rectangle 8" descr="右上がり対角線"/>
        <xdr:cNvSpPr>
          <a:spLocks/>
        </xdr:cNvSpPr>
      </xdr:nvSpPr>
      <xdr:spPr>
        <a:xfrm>
          <a:off x="2181225" y="2228850"/>
          <a:ext cx="6543675" cy="1000125"/>
        </a:xfrm>
        <a:prstGeom prst="rect">
          <a:avLst/>
        </a:prstGeom>
        <a:pattFill prst="ltUpDiag">
          <a:fgClr>
            <a:srgbClr val="00008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438150</xdr:colOff>
      <xdr:row>45</xdr:row>
      <xdr:rowOff>9525</xdr:rowOff>
    </xdr:from>
    <xdr:to>
      <xdr:col>48</xdr:col>
      <xdr:colOff>238125</xdr:colOff>
      <xdr:row>63</xdr:row>
      <xdr:rowOff>76200</xdr:rowOff>
    </xdr:to>
    <xdr:graphicFrame>
      <xdr:nvGraphicFramePr>
        <xdr:cNvPr id="1" name="グラフ 17"/>
        <xdr:cNvGraphicFramePr/>
      </xdr:nvGraphicFramePr>
      <xdr:xfrm>
        <a:off x="29479875" y="8086725"/>
        <a:ext cx="41433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zoomScale="85" zoomScaleNormal="85" zoomScalePageLayoutView="0" workbookViewId="0" topLeftCell="A3">
      <selection activeCell="M23" sqref="M23"/>
    </sheetView>
  </sheetViews>
  <sheetFormatPr defaultColWidth="9.00390625" defaultRowHeight="18.75" customHeight="1"/>
  <cols>
    <col min="1" max="1" width="6.25390625" style="0" customWidth="1"/>
  </cols>
  <sheetData>
    <row r="1" s="108" customFormat="1" ht="18.75" customHeight="1">
      <c r="A1" s="108" t="s">
        <v>193</v>
      </c>
    </row>
    <row r="3" spans="2:12" s="85" customFormat="1" ht="18.75" customHeight="1">
      <c r="B3" s="113" t="s">
        <v>135</v>
      </c>
      <c r="C3" s="114"/>
      <c r="D3" s="91" t="s">
        <v>145</v>
      </c>
      <c r="E3" s="92"/>
      <c r="F3" s="92"/>
      <c r="G3" s="93"/>
      <c r="H3" s="93"/>
      <c r="I3" s="93"/>
      <c r="J3" s="93"/>
      <c r="K3" s="93"/>
      <c r="L3" s="93"/>
    </row>
    <row r="4" spans="2:12" s="85" customFormat="1" ht="18.75" customHeight="1">
      <c r="B4" s="114"/>
      <c r="C4" s="114"/>
      <c r="D4" s="91" t="s">
        <v>146</v>
      </c>
      <c r="E4" s="92"/>
      <c r="F4" s="92"/>
      <c r="G4" s="93"/>
      <c r="H4" s="93"/>
      <c r="I4" s="93"/>
      <c r="J4" s="93"/>
      <c r="K4" s="93"/>
      <c r="L4" s="93"/>
    </row>
    <row r="5" spans="2:12" s="85" customFormat="1" ht="18.75" customHeight="1">
      <c r="B5" s="86" t="s">
        <v>136</v>
      </c>
      <c r="C5" s="86" t="s">
        <v>137</v>
      </c>
      <c r="D5" s="92"/>
      <c r="E5" s="92"/>
      <c r="F5" s="92"/>
      <c r="G5" s="93"/>
      <c r="H5" s="93"/>
      <c r="I5" s="93"/>
      <c r="J5" s="93"/>
      <c r="K5" s="93"/>
      <c r="L5" s="93"/>
    </row>
    <row r="6" spans="2:12" s="85" customFormat="1" ht="18.75" customHeight="1">
      <c r="B6" s="87">
        <v>-2</v>
      </c>
      <c r="C6" s="87">
        <v>-4</v>
      </c>
      <c r="D6" s="91" t="s">
        <v>148</v>
      </c>
      <c r="E6" s="92"/>
      <c r="F6" s="92"/>
      <c r="G6" s="93"/>
      <c r="H6" s="93"/>
      <c r="I6" s="93"/>
      <c r="J6" s="93"/>
      <c r="K6" s="93"/>
      <c r="L6" s="93"/>
    </row>
    <row r="7" spans="2:12" s="85" customFormat="1" ht="18.75" customHeight="1">
      <c r="B7" s="109">
        <v>0</v>
      </c>
      <c r="C7" s="109">
        <v>-60</v>
      </c>
      <c r="D7" s="91" t="s">
        <v>147</v>
      </c>
      <c r="E7" s="92"/>
      <c r="F7" s="92"/>
      <c r="G7" s="93"/>
      <c r="H7" s="93"/>
      <c r="I7" s="93"/>
      <c r="J7" s="93"/>
      <c r="K7" s="93"/>
      <c r="L7" s="93"/>
    </row>
    <row r="8" spans="2:11" s="85" customFormat="1" ht="18.75" customHeight="1">
      <c r="B8" s="113" t="s">
        <v>140</v>
      </c>
      <c r="C8" s="113"/>
      <c r="D8" s="113"/>
      <c r="E8" s="114"/>
      <c r="F8" s="91" t="s">
        <v>149</v>
      </c>
      <c r="G8" s="93"/>
      <c r="H8" s="93"/>
      <c r="I8" s="93"/>
      <c r="J8" s="93"/>
      <c r="K8" s="93"/>
    </row>
    <row r="9" spans="2:11" s="85" customFormat="1" ht="18.75" customHeight="1">
      <c r="B9" s="113"/>
      <c r="C9" s="113"/>
      <c r="D9" s="113"/>
      <c r="E9" s="114"/>
      <c r="F9" s="92"/>
      <c r="G9" s="93"/>
      <c r="H9" s="93"/>
      <c r="I9" s="93"/>
      <c r="J9" s="93"/>
      <c r="K9" s="93"/>
    </row>
    <row r="10" spans="2:11" s="85" customFormat="1" ht="18.75" customHeight="1">
      <c r="B10" s="86" t="s">
        <v>141</v>
      </c>
      <c r="C10" s="86" t="s">
        <v>142</v>
      </c>
      <c r="D10" s="86" t="s">
        <v>143</v>
      </c>
      <c r="E10" s="86" t="s">
        <v>151</v>
      </c>
      <c r="F10" s="91" t="s">
        <v>150</v>
      </c>
      <c r="G10" s="93"/>
      <c r="H10" s="93"/>
      <c r="I10" s="93"/>
      <c r="J10" s="93"/>
      <c r="K10" s="93"/>
    </row>
    <row r="11" spans="2:11" s="85" customFormat="1" ht="18.75" customHeight="1">
      <c r="B11" s="87">
        <v>-44</v>
      </c>
      <c r="C11" s="87">
        <v>-101</v>
      </c>
      <c r="D11" s="89">
        <v>1.17</v>
      </c>
      <c r="E11" s="90">
        <v>25</v>
      </c>
      <c r="F11" s="91" t="s">
        <v>148</v>
      </c>
      <c r="G11" s="93"/>
      <c r="H11" s="93"/>
      <c r="I11" s="93"/>
      <c r="J11" s="93"/>
      <c r="K11" s="93"/>
    </row>
    <row r="12" spans="2:11" s="85" customFormat="1" ht="18.75" customHeight="1">
      <c r="B12" s="109">
        <v>0</v>
      </c>
      <c r="C12" s="109">
        <v>-30</v>
      </c>
      <c r="D12" s="109">
        <v>1.4</v>
      </c>
      <c r="E12" s="109">
        <v>25</v>
      </c>
      <c r="F12" s="91" t="s">
        <v>147</v>
      </c>
      <c r="G12" s="93"/>
      <c r="H12" s="93"/>
      <c r="I12" s="93"/>
      <c r="J12" s="93"/>
      <c r="K12" s="93"/>
    </row>
    <row r="13" spans="2:13" s="85" customFormat="1" ht="18.75" customHeight="1">
      <c r="B13" s="116" t="s">
        <v>153</v>
      </c>
      <c r="C13" s="118" t="s">
        <v>154</v>
      </c>
      <c r="D13" s="119"/>
      <c r="E13" s="92"/>
      <c r="F13" s="92"/>
      <c r="G13" s="93"/>
      <c r="H13" s="93"/>
      <c r="I13" s="93"/>
      <c r="J13" s="93"/>
      <c r="K13" s="93"/>
      <c r="L13" s="93"/>
      <c r="M13" s="93"/>
    </row>
    <row r="14" spans="2:13" s="85" customFormat="1" ht="18.75" customHeight="1">
      <c r="B14" s="117"/>
      <c r="C14" s="120"/>
      <c r="D14" s="121"/>
      <c r="E14" s="91" t="s">
        <v>152</v>
      </c>
      <c r="F14" s="92"/>
      <c r="G14" s="93"/>
      <c r="H14" s="93"/>
      <c r="I14" s="93"/>
      <c r="J14" s="93"/>
      <c r="K14" s="93"/>
      <c r="L14" s="93"/>
      <c r="M14" s="93"/>
    </row>
    <row r="15" spans="2:13" s="85" customFormat="1" ht="18.75" customHeight="1">
      <c r="B15" s="102" t="s">
        <v>139</v>
      </c>
      <c r="C15" s="103" t="s">
        <v>155</v>
      </c>
      <c r="D15" s="104" t="s">
        <v>144</v>
      </c>
      <c r="E15" s="91" t="s">
        <v>156</v>
      </c>
      <c r="F15" s="92"/>
      <c r="G15" s="93"/>
      <c r="H15" s="93"/>
      <c r="I15" s="93"/>
      <c r="J15" s="93"/>
      <c r="K15" s="93"/>
      <c r="L15" s="93"/>
      <c r="M15" s="93"/>
    </row>
    <row r="16" spans="2:13" s="85" customFormat="1" ht="18.75" customHeight="1">
      <c r="B16" s="99">
        <v>-200</v>
      </c>
      <c r="C16" s="100">
        <v>1.515</v>
      </c>
      <c r="D16" s="101">
        <v>170</v>
      </c>
      <c r="E16" s="92"/>
      <c r="F16" s="92"/>
      <c r="G16" s="93"/>
      <c r="H16" s="93"/>
      <c r="I16" s="93"/>
      <c r="J16" s="93"/>
      <c r="K16" s="93"/>
      <c r="L16" s="93"/>
      <c r="M16" s="93"/>
    </row>
    <row r="17" spans="2:13" s="85" customFormat="1" ht="18.75" customHeight="1">
      <c r="B17" s="109">
        <v>-200</v>
      </c>
      <c r="C17" s="109">
        <v>1.515</v>
      </c>
      <c r="D17" s="109">
        <v>170</v>
      </c>
      <c r="E17" s="91" t="s">
        <v>147</v>
      </c>
      <c r="F17" s="92"/>
      <c r="G17" s="93"/>
      <c r="H17" s="93"/>
      <c r="I17" s="93"/>
      <c r="J17" s="93"/>
      <c r="K17" s="93"/>
      <c r="L17" s="93"/>
      <c r="M17" s="93"/>
    </row>
    <row r="18" spans="3:13" s="85" customFormat="1" ht="18.75" customHeight="1">
      <c r="C18" s="115" t="s">
        <v>157</v>
      </c>
      <c r="D18" s="115" t="s">
        <v>158</v>
      </c>
      <c r="E18" s="92"/>
      <c r="F18" s="92"/>
      <c r="G18" s="93"/>
      <c r="H18" s="93"/>
      <c r="I18" s="93"/>
      <c r="J18" s="93"/>
      <c r="K18" s="93"/>
      <c r="L18" s="93"/>
      <c r="M18" s="93"/>
    </row>
    <row r="19" spans="3:13" s="85" customFormat="1" ht="18.75" customHeight="1">
      <c r="C19" s="115"/>
      <c r="D19" s="115"/>
      <c r="E19" s="91" t="s">
        <v>161</v>
      </c>
      <c r="F19" s="92"/>
      <c r="G19" s="93"/>
      <c r="H19" s="93"/>
      <c r="I19" s="93"/>
      <c r="J19" s="93"/>
      <c r="K19" s="93"/>
      <c r="L19" s="93"/>
      <c r="M19" s="93"/>
    </row>
    <row r="20" spans="3:13" s="85" customFormat="1" ht="18.75" customHeight="1">
      <c r="C20" s="94" t="s">
        <v>159</v>
      </c>
      <c r="D20" s="94" t="s">
        <v>160</v>
      </c>
      <c r="E20" s="91" t="s">
        <v>148</v>
      </c>
      <c r="F20" s="92"/>
      <c r="G20" s="93"/>
      <c r="H20" s="93"/>
      <c r="I20" s="93"/>
      <c r="J20" s="93"/>
      <c r="K20" s="93"/>
      <c r="L20" s="93"/>
      <c r="M20" s="93"/>
    </row>
    <row r="21" spans="2:13" s="85" customFormat="1" ht="18.75" customHeight="1">
      <c r="B21"/>
      <c r="C21" s="89">
        <v>1.27</v>
      </c>
      <c r="D21" s="89">
        <v>1.333</v>
      </c>
      <c r="E21" s="91" t="s">
        <v>147</v>
      </c>
      <c r="F21" s="92"/>
      <c r="G21" s="93"/>
      <c r="H21" s="93"/>
      <c r="I21" s="93"/>
      <c r="J21" s="93"/>
      <c r="K21" s="93"/>
      <c r="L21" s="93"/>
      <c r="M21" s="93"/>
    </row>
    <row r="22" spans="2:13" s="85" customFormat="1" ht="18.75" customHeight="1">
      <c r="B22"/>
      <c r="C22" s="109">
        <v>1.515</v>
      </c>
      <c r="D22" s="109">
        <v>1.333</v>
      </c>
      <c r="E22" s="92"/>
      <c r="F22" s="92"/>
      <c r="G22" s="93"/>
      <c r="H22" s="93"/>
      <c r="I22" s="93"/>
      <c r="J22" s="93"/>
      <c r="K22" s="93"/>
      <c r="L22" s="93"/>
      <c r="M22" s="93"/>
    </row>
    <row r="23" spans="5:13" ht="18.75" customHeight="1">
      <c r="E23" s="64"/>
      <c r="F23" s="64"/>
      <c r="G23" s="64"/>
      <c r="H23" s="64"/>
      <c r="I23" s="64"/>
      <c r="J23" s="64"/>
      <c r="K23" s="64"/>
      <c r="L23" s="64"/>
      <c r="M23" s="64"/>
    </row>
    <row r="24" s="108" customFormat="1" ht="18.75" customHeight="1">
      <c r="A24" s="108" t="s">
        <v>194</v>
      </c>
    </row>
    <row r="25" spans="2:13" ht="18.75" customHeight="1">
      <c r="B25" s="107" t="s">
        <v>192</v>
      </c>
      <c r="E25" s="64"/>
      <c r="F25" s="64"/>
      <c r="G25" s="64"/>
      <c r="H25" s="64"/>
      <c r="I25" s="64"/>
      <c r="J25" s="64"/>
      <c r="K25" s="64"/>
      <c r="L25" s="64"/>
      <c r="M25" s="64"/>
    </row>
    <row r="26" spans="1:6" ht="18.75" customHeight="1">
      <c r="A26" s="105" t="s">
        <v>172</v>
      </c>
      <c r="B26" s="84" t="s">
        <v>163</v>
      </c>
      <c r="C26" s="84"/>
      <c r="D26" s="84"/>
      <c r="E26" s="106" t="s">
        <v>181</v>
      </c>
      <c r="F26" s="84"/>
    </row>
    <row r="27" spans="1:6" ht="18.75" customHeight="1">
      <c r="A27" s="105" t="s">
        <v>173</v>
      </c>
      <c r="B27" s="84" t="s">
        <v>164</v>
      </c>
      <c r="C27" s="84"/>
      <c r="D27" s="84"/>
      <c r="E27" s="106" t="s">
        <v>182</v>
      </c>
      <c r="F27" s="84"/>
    </row>
    <row r="28" spans="1:6" ht="18.75" customHeight="1">
      <c r="A28" s="105" t="s">
        <v>174</v>
      </c>
      <c r="B28" s="84" t="s">
        <v>165</v>
      </c>
      <c r="C28" s="84"/>
      <c r="D28" s="84"/>
      <c r="E28" s="106" t="s">
        <v>183</v>
      </c>
      <c r="F28" s="84"/>
    </row>
    <row r="29" spans="1:6" ht="18.75" customHeight="1">
      <c r="A29" s="105" t="s">
        <v>175</v>
      </c>
      <c r="B29" s="84" t="s">
        <v>166</v>
      </c>
      <c r="C29" s="84"/>
      <c r="D29" s="84"/>
      <c r="E29" s="106" t="s">
        <v>184</v>
      </c>
      <c r="F29" s="84"/>
    </row>
    <row r="30" spans="1:6" ht="18.75" customHeight="1">
      <c r="A30" s="105" t="s">
        <v>176</v>
      </c>
      <c r="B30" s="84" t="s">
        <v>167</v>
      </c>
      <c r="C30" s="84"/>
      <c r="D30" s="84"/>
      <c r="E30" s="106" t="s">
        <v>185</v>
      </c>
      <c r="F30" s="84"/>
    </row>
    <row r="31" spans="1:6" ht="18.75" customHeight="1">
      <c r="A31" s="105" t="s">
        <v>177</v>
      </c>
      <c r="B31" s="84" t="s">
        <v>186</v>
      </c>
      <c r="C31" s="84"/>
      <c r="D31" s="84"/>
      <c r="E31" s="106" t="s">
        <v>187</v>
      </c>
      <c r="F31" s="84"/>
    </row>
    <row r="32" spans="1:6" ht="18.75" customHeight="1">
      <c r="A32" s="105" t="s">
        <v>178</v>
      </c>
      <c r="B32" s="84" t="s">
        <v>169</v>
      </c>
      <c r="C32" s="84"/>
      <c r="D32" s="84"/>
      <c r="E32" s="106" t="s">
        <v>181</v>
      </c>
      <c r="F32" s="84"/>
    </row>
    <row r="33" spans="1:6" ht="18.75" customHeight="1">
      <c r="A33" s="105" t="s">
        <v>179</v>
      </c>
      <c r="B33" s="84" t="s">
        <v>170</v>
      </c>
      <c r="C33" s="84"/>
      <c r="D33" s="84"/>
      <c r="E33" s="106" t="s">
        <v>188</v>
      </c>
      <c r="F33" s="84"/>
    </row>
    <row r="34" spans="1:6" ht="18.75" customHeight="1">
      <c r="A34" s="105" t="s">
        <v>180</v>
      </c>
      <c r="B34" s="84" t="s">
        <v>171</v>
      </c>
      <c r="C34" s="84"/>
      <c r="D34" s="84"/>
      <c r="E34" s="106" t="s">
        <v>189</v>
      </c>
      <c r="F34" s="84"/>
    </row>
    <row r="35" spans="1:5" ht="18.75" customHeight="1">
      <c r="A35" s="105" t="s">
        <v>190</v>
      </c>
      <c r="B35" s="84" t="s">
        <v>168</v>
      </c>
      <c r="E35" s="106" t="s">
        <v>191</v>
      </c>
    </row>
  </sheetData>
  <sheetProtection sheet="1" objects="1" scenarios="1"/>
  <mergeCells count="6">
    <mergeCell ref="B3:C4"/>
    <mergeCell ref="B8:E9"/>
    <mergeCell ref="C18:C19"/>
    <mergeCell ref="D18:D19"/>
    <mergeCell ref="B13:B14"/>
    <mergeCell ref="C13:D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B161"/>
  <sheetViews>
    <sheetView tabSelected="1" zoomScale="55" zoomScaleNormal="55" zoomScalePageLayoutView="0" workbookViewId="0" topLeftCell="A5">
      <selection activeCell="U33" sqref="U33"/>
    </sheetView>
  </sheetViews>
  <sheetFormatPr defaultColWidth="9.00390625" defaultRowHeight="13.5"/>
  <cols>
    <col min="1" max="1" width="4.50390625" style="0" customWidth="1"/>
    <col min="13" max="13" width="10.00390625" style="0" bestFit="1" customWidth="1"/>
    <col min="15" max="17" width="11.125" style="5" customWidth="1"/>
    <col min="18" max="18" width="10.125" style="5" customWidth="1"/>
  </cols>
  <sheetData>
    <row r="1" spans="2:54" s="58" customFormat="1" ht="14.25">
      <c r="B1" s="122" t="s">
        <v>91</v>
      </c>
      <c r="C1" s="122"/>
      <c r="D1" s="122" t="s">
        <v>95</v>
      </c>
      <c r="E1" s="122"/>
      <c r="F1" s="122" t="s">
        <v>96</v>
      </c>
      <c r="G1" s="122"/>
      <c r="H1" s="122" t="s">
        <v>4</v>
      </c>
      <c r="I1" s="122"/>
      <c r="J1" s="122" t="s">
        <v>97</v>
      </c>
      <c r="K1" s="122"/>
      <c r="L1" s="122" t="s">
        <v>98</v>
      </c>
      <c r="M1" s="122"/>
      <c r="N1" s="122" t="s">
        <v>5</v>
      </c>
      <c r="O1" s="122"/>
      <c r="P1" s="122" t="s">
        <v>99</v>
      </c>
      <c r="Q1" s="122"/>
      <c r="R1" s="122" t="s">
        <v>100</v>
      </c>
      <c r="S1" s="122"/>
      <c r="T1" s="122" t="s">
        <v>6</v>
      </c>
      <c r="U1" s="122"/>
      <c r="V1" s="122" t="s">
        <v>101</v>
      </c>
      <c r="W1" s="122"/>
      <c r="X1" s="122" t="s">
        <v>102</v>
      </c>
      <c r="Y1" s="122"/>
      <c r="Z1" s="122" t="s">
        <v>7</v>
      </c>
      <c r="AA1" s="122"/>
      <c r="AB1" s="122" t="s">
        <v>103</v>
      </c>
      <c r="AC1" s="122"/>
      <c r="AD1" s="122" t="s">
        <v>104</v>
      </c>
      <c r="AE1" s="122"/>
      <c r="AF1" s="122" t="s">
        <v>8</v>
      </c>
      <c r="AG1" s="122"/>
      <c r="AH1" s="122" t="s">
        <v>105</v>
      </c>
      <c r="AI1" s="122"/>
      <c r="AJ1" s="122" t="s">
        <v>106</v>
      </c>
      <c r="AK1" s="122"/>
      <c r="AL1" s="122" t="s">
        <v>9</v>
      </c>
      <c r="AM1" s="122"/>
      <c r="AN1" s="122" t="s">
        <v>107</v>
      </c>
      <c r="AO1" s="122"/>
      <c r="AP1" s="122" t="s">
        <v>108</v>
      </c>
      <c r="AQ1" s="122"/>
      <c r="AS1" s="127" t="s">
        <v>92</v>
      </c>
      <c r="AT1" s="127"/>
      <c r="AU1" s="127"/>
      <c r="AV1" s="127"/>
      <c r="AW1" s="127"/>
      <c r="AX1" s="127"/>
      <c r="AY1" s="122"/>
      <c r="BA1" s="123" t="s">
        <v>127</v>
      </c>
      <c r="BB1" s="124"/>
    </row>
    <row r="2" spans="2:54" ht="14.25">
      <c r="B2" s="6">
        <f>Data!D4</f>
        <v>-447.44048302144057</v>
      </c>
      <c r="C2" s="6">
        <f>Data!E4</f>
        <v>300</v>
      </c>
      <c r="D2" s="6">
        <f>Data!D6</f>
        <v>-388.54820935168595</v>
      </c>
      <c r="E2" s="6">
        <f>Data!E6</f>
        <v>300</v>
      </c>
      <c r="F2" s="6">
        <f>Data!D8</f>
        <v>-337.3939153772921</v>
      </c>
      <c r="G2" s="6">
        <f>Data!E8</f>
        <v>300</v>
      </c>
      <c r="H2" s="6">
        <f>Data!D10</f>
        <v>-292.0025205303415</v>
      </c>
      <c r="I2" s="6">
        <f>Data!E10</f>
        <v>300</v>
      </c>
      <c r="J2" s="6">
        <f>Data!D12</f>
        <v>-250.9557858578256</v>
      </c>
      <c r="K2" s="6">
        <f>Data!E12</f>
        <v>300</v>
      </c>
      <c r="L2" s="6">
        <f>Data!D14</f>
        <v>-213.19818243293045</v>
      </c>
      <c r="M2" s="6">
        <f>Data!E14</f>
        <v>300</v>
      </c>
      <c r="N2" s="6">
        <f>Data!D16</f>
        <v>-177.91631041655458</v>
      </c>
      <c r="O2" s="6">
        <f>Data!E16</f>
        <v>300</v>
      </c>
      <c r="P2" s="6">
        <f>Data!D18</f>
        <v>-144.46064724778347</v>
      </c>
      <c r="Q2" s="6">
        <f>Data!E18</f>
        <v>300</v>
      </c>
      <c r="R2" s="6">
        <f>Data!D20</f>
        <v>-112.29247184379102</v>
      </c>
      <c r="S2" s="6">
        <f>Data!E20</f>
        <v>300</v>
      </c>
      <c r="T2" s="6">
        <f>Data!D22</f>
        <v>-80.94604641731566</v>
      </c>
      <c r="U2" s="6">
        <f>Data!E22</f>
        <v>300</v>
      </c>
      <c r="V2" s="6">
        <f>Data!D24</f>
        <v>-49.99613999999987</v>
      </c>
      <c r="W2" s="6">
        <f>Data!E24</f>
        <v>300</v>
      </c>
      <c r="X2" s="6">
        <f>Data!D26</f>
        <v>-19.053953582683604</v>
      </c>
      <c r="Y2" s="6">
        <f>Data!E26</f>
        <v>300</v>
      </c>
      <c r="Z2" s="6">
        <f>Data!D28</f>
        <v>12.292471843791823</v>
      </c>
      <c r="AA2" s="6">
        <f>Data!E28</f>
        <v>300</v>
      </c>
      <c r="AB2" s="6">
        <f>Data!D30</f>
        <v>44.460647247783484</v>
      </c>
      <c r="AC2" s="6">
        <f>Data!E30</f>
        <v>300</v>
      </c>
      <c r="AD2" s="6">
        <f>Data!D32</f>
        <v>77.91631041655458</v>
      </c>
      <c r="AE2" s="6">
        <f>Data!E32</f>
        <v>300</v>
      </c>
      <c r="AF2" s="6">
        <f>Data!D34</f>
        <v>113.19818243293045</v>
      </c>
      <c r="AG2" s="6">
        <f>Data!E34</f>
        <v>300</v>
      </c>
      <c r="AH2" s="6">
        <f>Data!D36</f>
        <v>150.9557858578256</v>
      </c>
      <c r="AI2" s="6">
        <f>Data!E36</f>
        <v>300</v>
      </c>
      <c r="AJ2" s="6">
        <f>Data!D38</f>
        <v>192.0025205303415</v>
      </c>
      <c r="AK2" s="6">
        <f>Data!E38</f>
        <v>300</v>
      </c>
      <c r="AL2" s="6">
        <f>Data!D40</f>
        <v>237.3939153772921</v>
      </c>
      <c r="AM2" s="6">
        <f>Data!E40</f>
        <v>300</v>
      </c>
      <c r="AN2" s="6">
        <f>Data!D42</f>
        <v>288.54820935168595</v>
      </c>
      <c r="AO2" s="6">
        <f>Data!E42</f>
        <v>300</v>
      </c>
      <c r="AP2" s="6">
        <f>Data!D44</f>
        <v>347.44048302144057</v>
      </c>
      <c r="AQ2" s="6">
        <f>Data!E44</f>
        <v>300</v>
      </c>
      <c r="AS2" s="40" t="s">
        <v>51</v>
      </c>
      <c r="AT2" s="3" t="s">
        <v>47</v>
      </c>
      <c r="AU2" s="39" t="s">
        <v>48</v>
      </c>
      <c r="AV2" s="39" t="s">
        <v>49</v>
      </c>
      <c r="AW2" s="39" t="s">
        <v>50</v>
      </c>
      <c r="AX2" s="3" t="s">
        <v>45</v>
      </c>
      <c r="AY2" s="3" t="s">
        <v>46</v>
      </c>
      <c r="BA2" s="125"/>
      <c r="BB2" s="126"/>
    </row>
    <row r="3" spans="2:54" ht="14.25">
      <c r="B3" s="80">
        <f>Data!F4</f>
        <v>-241.51277161136773</v>
      </c>
      <c r="C3" s="80">
        <f>Data!G4</f>
        <v>100</v>
      </c>
      <c r="D3" s="80">
        <f>Data!F6</f>
        <v>-213.13462937671915</v>
      </c>
      <c r="E3" s="80">
        <f>Data!G6</f>
        <v>100</v>
      </c>
      <c r="F3" s="80">
        <f>Data!F8</f>
        <v>-188.4851509330993</v>
      </c>
      <c r="G3" s="80">
        <f>Data!G8</f>
        <v>100</v>
      </c>
      <c r="H3" s="80">
        <f>Data!F10</f>
        <v>-166.61261351980187</v>
      </c>
      <c r="I3" s="80">
        <f>Data!G10</f>
        <v>100</v>
      </c>
      <c r="J3" s="80">
        <f>Data!F12</f>
        <v>-146.83361701957398</v>
      </c>
      <c r="K3" s="80">
        <f>Data!G12</f>
        <v>100</v>
      </c>
      <c r="L3" s="80">
        <f>Data!F14</f>
        <v>-128.63953868529808</v>
      </c>
      <c r="M3" s="80">
        <f>Data!G14</f>
        <v>100</v>
      </c>
      <c r="N3" s="80">
        <f>Data!F16</f>
        <v>-111.63842937170764</v>
      </c>
      <c r="O3" s="80">
        <f>Data!G16</f>
        <v>100</v>
      </c>
      <c r="P3" s="80">
        <f>Data!F18</f>
        <v>-95.51730670489049</v>
      </c>
      <c r="Q3" s="80">
        <f>Data!G18</f>
        <v>100</v>
      </c>
      <c r="R3" s="80">
        <f>Data!F20</f>
        <v>-80.01657969674905</v>
      </c>
      <c r="S3" s="80">
        <f>Data!G20</f>
        <v>100</v>
      </c>
      <c r="T3" s="80">
        <f>Data!F22</f>
        <v>-64.91182547570133</v>
      </c>
      <c r="U3" s="80">
        <f>Data!G22</f>
        <v>100</v>
      </c>
      <c r="V3" s="80">
        <f>Data!F24</f>
        <v>-49.998139999999935</v>
      </c>
      <c r="W3" s="80">
        <f>Data!G24</f>
        <v>100</v>
      </c>
      <c r="X3" s="80">
        <f>Data!F26</f>
        <v>-35.08817452429832</v>
      </c>
      <c r="Y3" s="80">
        <f>Data!G26</f>
        <v>100</v>
      </c>
      <c r="Z3" s="80">
        <f>Data!F28</f>
        <v>-19.983420303250572</v>
      </c>
      <c r="AA3" s="80">
        <f>Data!G28</f>
        <v>100</v>
      </c>
      <c r="AB3" s="80">
        <f>Data!F30</f>
        <v>-4.482693295109513</v>
      </c>
      <c r="AC3" s="80">
        <f>Data!G30</f>
        <v>100</v>
      </c>
      <c r="AD3" s="80">
        <f>Data!F32</f>
        <v>11.638429371707645</v>
      </c>
      <c r="AE3" s="80">
        <f>Data!G32</f>
        <v>100</v>
      </c>
      <c r="AF3" s="80">
        <f>Data!F34</f>
        <v>28.639538685298092</v>
      </c>
      <c r="AG3" s="80">
        <f>Data!G34</f>
        <v>100</v>
      </c>
      <c r="AH3" s="80">
        <f>Data!F36</f>
        <v>46.83361701957399</v>
      </c>
      <c r="AI3" s="80">
        <f>Data!G36</f>
        <v>100</v>
      </c>
      <c r="AJ3" s="80">
        <f>Data!F38</f>
        <v>66.61261351980187</v>
      </c>
      <c r="AK3" s="80">
        <f>Data!G38</f>
        <v>100</v>
      </c>
      <c r="AL3" s="80">
        <f>Data!F40</f>
        <v>88.4851509330993</v>
      </c>
      <c r="AM3" s="80">
        <f>Data!G40</f>
        <v>100</v>
      </c>
      <c r="AN3" s="80">
        <f>Data!F42</f>
        <v>113.13462937671915</v>
      </c>
      <c r="AO3" s="80">
        <f>Data!G42</f>
        <v>100</v>
      </c>
      <c r="AP3" s="80">
        <f>Data!F44</f>
        <v>141.51277161136773</v>
      </c>
      <c r="AQ3" s="80">
        <f>Data!G44</f>
        <v>100</v>
      </c>
      <c r="AS3" s="40"/>
      <c r="AT3" s="3"/>
      <c r="AU3" s="39"/>
      <c r="AV3" s="39"/>
      <c r="AW3" s="39"/>
      <c r="AX3" s="3"/>
      <c r="AY3" s="3"/>
      <c r="BA3" s="51" t="s">
        <v>128</v>
      </c>
      <c r="BB3" s="51" t="s">
        <v>129</v>
      </c>
    </row>
    <row r="4" spans="2:54" ht="13.5">
      <c r="B4" s="6">
        <f>Data!R4</f>
        <v>-160.1372996785132</v>
      </c>
      <c r="C4" s="6">
        <f>Data!S4</f>
        <v>0</v>
      </c>
      <c r="D4" s="6">
        <f>Data!R6</f>
        <v>-144.25931550245258</v>
      </c>
      <c r="E4" s="6">
        <f>Data!S6</f>
        <v>0</v>
      </c>
      <c r="F4" s="6">
        <f>Data!R8</f>
        <v>-128.4807175400264</v>
      </c>
      <c r="G4" s="6">
        <f>Data!S8</f>
        <v>0</v>
      </c>
      <c r="H4" s="6">
        <f>Data!R10</f>
        <v>-115.08576073714518</v>
      </c>
      <c r="I4" s="6">
        <f>Data!S10</f>
        <v>0</v>
      </c>
      <c r="J4" s="6">
        <f>Data!R12</f>
        <v>-103.41812416789575</v>
      </c>
      <c r="K4" s="6">
        <f>Data!S12</f>
        <v>0</v>
      </c>
      <c r="L4" s="6">
        <f>Data!R14</f>
        <v>-93.01508121463002</v>
      </c>
      <c r="M4" s="6">
        <f>Data!S14</f>
        <v>0</v>
      </c>
      <c r="N4" s="6">
        <f>Data!R16</f>
        <v>-83.53873263214308</v>
      </c>
      <c r="O4" s="6">
        <f>Data!S16</f>
        <v>0</v>
      </c>
      <c r="P4" s="6">
        <f>Data!R18</f>
        <v>-74.7330557476741</v>
      </c>
      <c r="Q4" s="6">
        <f>Data!S18</f>
        <v>0</v>
      </c>
      <c r="R4" s="6">
        <f>Data!R20</f>
        <v>-66.39601451938717</v>
      </c>
      <c r="S4" s="6">
        <f>Data!S20</f>
        <v>0</v>
      </c>
      <c r="T4" s="6">
        <f>Data!R22</f>
        <v>-58.36063384211049</v>
      </c>
      <c r="U4" s="6">
        <f>Data!S22</f>
        <v>0</v>
      </c>
      <c r="V4" s="6">
        <f>Data!R24</f>
        <v>-50.48056119281831</v>
      </c>
      <c r="W4" s="6">
        <f>Data!S24</f>
        <v>0</v>
      </c>
      <c r="X4" s="6">
        <f>Data!R26</f>
        <v>-42.623863802287325</v>
      </c>
      <c r="Y4" s="6">
        <f>Data!S26</f>
        <v>0</v>
      </c>
      <c r="Z4" s="6">
        <f>Data!R28</f>
        <v>-34.65544753955542</v>
      </c>
      <c r="AA4" s="6">
        <f>Data!S28</f>
        <v>0</v>
      </c>
      <c r="AB4" s="6">
        <f>Data!R30</f>
        <v>-26.43698267039688</v>
      </c>
      <c r="AC4" s="6">
        <f>Data!S30</f>
        <v>0</v>
      </c>
      <c r="AD4" s="6">
        <f>Data!R32</f>
        <v>-17.813091836485707</v>
      </c>
      <c r="AE4" s="6">
        <f>Data!S32</f>
        <v>0</v>
      </c>
      <c r="AF4" s="6">
        <f>Data!R34</f>
        <v>-8.600539405659177</v>
      </c>
      <c r="AG4" s="6">
        <f>Data!S34</f>
        <v>0</v>
      </c>
      <c r="AH4" s="6">
        <f>Data!R36</f>
        <v>1.4273970035962957</v>
      </c>
      <c r="AI4" s="6">
        <f>Data!S36</f>
        <v>0</v>
      </c>
      <c r="AJ4" s="6">
        <f>Data!R38</f>
        <v>12.563251581979616</v>
      </c>
      <c r="AK4" s="6">
        <f>Data!S38</f>
        <v>0</v>
      </c>
      <c r="AL4" s="6">
        <f>Data!R40</f>
        <v>25.19886943361601</v>
      </c>
      <c r="AM4" s="6">
        <f>Data!S40</f>
        <v>0</v>
      </c>
      <c r="AN4" s="6">
        <f>Data!R42</f>
        <v>39.87778821825925</v>
      </c>
      <c r="AO4" s="6">
        <f>Data!S42</f>
        <v>0</v>
      </c>
      <c r="AP4" s="6">
        <f>Data!R44</f>
        <v>57.380392019548154</v>
      </c>
      <c r="AQ4" s="6">
        <f>Data!S44</f>
        <v>0</v>
      </c>
      <c r="AS4" s="40">
        <v>0</v>
      </c>
      <c r="AT4" s="40">
        <f>PI()/50*AS4</f>
        <v>0</v>
      </c>
      <c r="AU4" s="41">
        <f>R21</f>
        <v>50</v>
      </c>
      <c r="AV4" s="41">
        <f>O21</f>
        <v>1000</v>
      </c>
      <c r="AW4" s="41">
        <f>P21</f>
        <v>-51</v>
      </c>
      <c r="AX4" s="40">
        <f>AV4+AU4*COS(AT4)</f>
        <v>1050</v>
      </c>
      <c r="AY4" s="40">
        <f>AW4+AU4*SIN(AT4)</f>
        <v>-51</v>
      </c>
      <c r="BA4" s="6">
        <v>-200</v>
      </c>
      <c r="BB4" s="6">
        <f>Data!G4</f>
        <v>100</v>
      </c>
    </row>
    <row r="5" spans="2:54" ht="13.5">
      <c r="B5" s="61">
        <f>Data!BH4</f>
        <v>127.16588366441414</v>
      </c>
      <c r="C5" s="61">
        <f>Data!BI4</f>
        <v>-300</v>
      </c>
      <c r="D5" s="61">
        <f>Data!BH6</f>
        <v>100.02957834678082</v>
      </c>
      <c r="E5" s="61">
        <f>Data!BI6</f>
        <v>-300</v>
      </c>
      <c r="F5" s="61">
        <f>Data!BH8</f>
        <v>80.43248029723931</v>
      </c>
      <c r="G5" s="61">
        <f>Data!BI8</f>
        <v>-300</v>
      </c>
      <c r="H5" s="61">
        <f>Data!BH10</f>
        <v>61.83099905605112</v>
      </c>
      <c r="I5" s="61">
        <f>Data!BI10</f>
        <v>-300</v>
      </c>
      <c r="J5" s="61">
        <f>Data!BH12</f>
        <v>44.11953752203411</v>
      </c>
      <c r="K5" s="61">
        <f>Data!BI12</f>
        <v>-300</v>
      </c>
      <c r="L5" s="61">
        <f>Data!BH14</f>
        <v>27.168020003670463</v>
      </c>
      <c r="M5" s="61">
        <f>Data!BI14</f>
        <v>-300</v>
      </c>
      <c r="N5" s="61">
        <f>Data!BH16</f>
        <v>10.838845152268412</v>
      </c>
      <c r="O5" s="61">
        <f>Data!BI16</f>
        <v>-300</v>
      </c>
      <c r="P5" s="61">
        <f>Data!BH18</f>
        <v>-5.005464247564716</v>
      </c>
      <c r="Q5" s="61">
        <f>Data!BI18</f>
        <v>-300</v>
      </c>
      <c r="R5" s="61">
        <f>Data!BH20</f>
        <v>-20.499557194983304</v>
      </c>
      <c r="S5" s="61">
        <f>Data!BI20</f>
        <v>-300</v>
      </c>
      <c r="T5" s="61">
        <f>Data!BH22</f>
        <v>-35.775221266905326</v>
      </c>
      <c r="U5" s="61">
        <f>Data!BI22</f>
        <v>-300</v>
      </c>
      <c r="V5" s="61">
        <f>Data!BH24</f>
        <v>-50.964982385636745</v>
      </c>
      <c r="W5" s="61">
        <f>Data!BI24</f>
        <v>-300</v>
      </c>
      <c r="X5" s="61">
        <f>Data!BH26</f>
        <v>-66.19377402189104</v>
      </c>
      <c r="Y5" s="61">
        <f>Data!BI26</f>
        <v>-300</v>
      </c>
      <c r="Z5" s="61">
        <f>Data!BH28</f>
        <v>-81.60336692290267</v>
      </c>
      <c r="AA5" s="61">
        <f>Data!BI28</f>
        <v>-300</v>
      </c>
      <c r="AB5" s="61">
        <f>Data!BH30</f>
        <v>-97.33461258857723</v>
      </c>
      <c r="AC5" s="61">
        <f>Data!BI30</f>
        <v>-300</v>
      </c>
      <c r="AD5" s="61">
        <f>Data!BH32</f>
        <v>-113.542494089526</v>
      </c>
      <c r="AE5" s="61">
        <f>Data!BI32</f>
        <v>-300</v>
      </c>
      <c r="AF5" s="61">
        <f>Data!BH34</f>
        <v>-130.39926124424886</v>
      </c>
      <c r="AG5" s="61">
        <f>Data!BI34</f>
        <v>-300</v>
      </c>
      <c r="AH5" s="61">
        <f>Data!BH36</f>
        <v>-148.10099185063302</v>
      </c>
      <c r="AI5" s="61">
        <f>Data!BI36</f>
        <v>-300</v>
      </c>
      <c r="AJ5" s="61">
        <f>Data!BH38</f>
        <v>-166.87601736638223</v>
      </c>
      <c r="AK5" s="61">
        <f>Data!BI38</f>
        <v>-300</v>
      </c>
      <c r="AL5" s="61">
        <f>Data!BH40</f>
        <v>-186.9961765100601</v>
      </c>
      <c r="AM5" s="61">
        <f>Data!BI40</f>
        <v>-300</v>
      </c>
      <c r="AN5" s="61">
        <f>Data!BH42</f>
        <v>-208.79263291516747</v>
      </c>
      <c r="AO5" s="61">
        <f>Data!BI42</f>
        <v>-300</v>
      </c>
      <c r="AP5" s="61">
        <f>Data!BH44</f>
        <v>-232.67969898234426</v>
      </c>
      <c r="AQ5" s="61">
        <f>Data!BI44</f>
        <v>-300</v>
      </c>
      <c r="AS5" s="40">
        <v>1</v>
      </c>
      <c r="AT5" s="40">
        <f aca="true" t="shared" si="0" ref="AT5:AT68">PI()/50*AS5</f>
        <v>0.06283185307179587</v>
      </c>
      <c r="AU5" s="40">
        <f>AU4</f>
        <v>50</v>
      </c>
      <c r="AV5" s="40">
        <f>AV4</f>
        <v>1000</v>
      </c>
      <c r="AW5" s="40">
        <f>AW4</f>
        <v>-51</v>
      </c>
      <c r="AX5" s="40">
        <f aca="true" t="shared" si="1" ref="AX5:AX14">AV5+AU5*COS(AT5)</f>
        <v>1049.9013364214136</v>
      </c>
      <c r="AY5" s="40">
        <f aca="true" t="shared" si="2" ref="AY5:AY14">AW5+AU5*SIN(AT5)</f>
        <v>-47.86047402353433</v>
      </c>
      <c r="BA5" s="6">
        <v>-180</v>
      </c>
      <c r="BB5" s="6">
        <f aca="true" t="shared" si="3" ref="BB5:BB24">BB4</f>
        <v>100</v>
      </c>
    </row>
    <row r="6" spans="2:54" ht="13.5">
      <c r="B6" s="57">
        <f>Data!BY4</f>
        <v>127.16588366441414</v>
      </c>
      <c r="C6" s="57">
        <f>Data!BZ4</f>
        <v>-300</v>
      </c>
      <c r="D6" s="57">
        <f>Data!BY6</f>
        <v>100.02957834678082</v>
      </c>
      <c r="E6" s="57">
        <f>Data!BZ6</f>
        <v>-300</v>
      </c>
      <c r="F6" s="57">
        <f>Data!BY8</f>
        <v>80.43248029723931</v>
      </c>
      <c r="G6" s="57">
        <f>Data!BZ8</f>
        <v>-300</v>
      </c>
      <c r="H6" s="57">
        <f>Data!BY10</f>
        <v>61.83099905605112</v>
      </c>
      <c r="I6" s="57">
        <f>Data!BZ10</f>
        <v>-300</v>
      </c>
      <c r="J6" s="57">
        <f>Data!BY12</f>
        <v>44.11953752203411</v>
      </c>
      <c r="K6" s="57">
        <f>Data!BZ12</f>
        <v>-300</v>
      </c>
      <c r="L6" s="57">
        <f>Data!BY14</f>
        <v>27.168020003670463</v>
      </c>
      <c r="M6" s="57">
        <f>Data!BZ14</f>
        <v>-300</v>
      </c>
      <c r="N6" s="57">
        <f>Data!BY16</f>
        <v>10.838845152268412</v>
      </c>
      <c r="O6" s="57">
        <f>Data!BZ16</f>
        <v>-300</v>
      </c>
      <c r="P6" s="57">
        <f>Data!BY18</f>
        <v>-5.005464247564716</v>
      </c>
      <c r="Q6" s="57">
        <f>Data!BZ18</f>
        <v>-300</v>
      </c>
      <c r="R6" s="57">
        <f>Data!BY20</f>
        <v>-20.499557194983304</v>
      </c>
      <c r="S6" s="57">
        <f>Data!BZ20</f>
        <v>-300</v>
      </c>
      <c r="T6" s="57">
        <f>Data!BY22</f>
        <v>-35.775221266905326</v>
      </c>
      <c r="U6" s="57">
        <f>Data!BZ22</f>
        <v>-300</v>
      </c>
      <c r="V6" s="57">
        <f>Data!BY24</f>
        <v>-50.964982385636745</v>
      </c>
      <c r="W6" s="57">
        <f>Data!BZ24</f>
        <v>-300</v>
      </c>
      <c r="X6" s="57">
        <f>Data!BY26</f>
        <v>-66.19377402189104</v>
      </c>
      <c r="Y6" s="57">
        <f>Data!BZ26</f>
        <v>-300</v>
      </c>
      <c r="Z6" s="57">
        <f>Data!BY28</f>
        <v>-81.60336692290267</v>
      </c>
      <c r="AA6" s="57">
        <f>Data!BZ28</f>
        <v>-300</v>
      </c>
      <c r="AB6" s="57">
        <f>Data!BY30</f>
        <v>-97.33461258857723</v>
      </c>
      <c r="AC6" s="57">
        <f>Data!BZ30</f>
        <v>-300</v>
      </c>
      <c r="AD6" s="57">
        <f>Data!BY32</f>
        <v>-113.542494089526</v>
      </c>
      <c r="AE6" s="57">
        <f>Data!BZ32</f>
        <v>-300</v>
      </c>
      <c r="AF6" s="57">
        <f>Data!BY34</f>
        <v>-130.39926124424886</v>
      </c>
      <c r="AG6" s="57">
        <f>Data!BZ34</f>
        <v>-300</v>
      </c>
      <c r="AH6" s="57">
        <f>Data!BY36</f>
        <v>-148.10099185063302</v>
      </c>
      <c r="AI6" s="57">
        <f>Data!BZ36</f>
        <v>-300</v>
      </c>
      <c r="AJ6" s="57">
        <f>Data!BY38</f>
        <v>-166.87601736638223</v>
      </c>
      <c r="AK6" s="57">
        <f>Data!BZ38</f>
        <v>-300</v>
      </c>
      <c r="AL6" s="57">
        <f>Data!BY40</f>
        <v>-186.9961765100601</v>
      </c>
      <c r="AM6" s="57">
        <f>Data!BZ40</f>
        <v>-300</v>
      </c>
      <c r="AN6" s="57">
        <f>Data!BY42</f>
        <v>-208.79263291516747</v>
      </c>
      <c r="AO6" s="57">
        <f>Data!BZ42</f>
        <v>-300</v>
      </c>
      <c r="AP6" s="57">
        <f>Data!BY44</f>
        <v>-232.67969898234426</v>
      </c>
      <c r="AQ6" s="57">
        <f>Data!BZ44</f>
        <v>-300</v>
      </c>
      <c r="AS6" s="40">
        <v>2</v>
      </c>
      <c r="AT6" s="40">
        <f t="shared" si="0"/>
        <v>0.12566370614359174</v>
      </c>
      <c r="AU6" s="40">
        <f aca="true" t="shared" si="4" ref="AU6:AU69">AU5</f>
        <v>50</v>
      </c>
      <c r="AV6" s="40">
        <f aca="true" t="shared" si="5" ref="AV6:AV69">AV5</f>
        <v>1000</v>
      </c>
      <c r="AW6" s="40">
        <f aca="true" t="shared" si="6" ref="AW6:AW69">AW5</f>
        <v>-51</v>
      </c>
      <c r="AX6" s="40">
        <f t="shared" si="1"/>
        <v>1049.6057350657238</v>
      </c>
      <c r="AY6" s="40">
        <f t="shared" si="2"/>
        <v>-44.733338321784785</v>
      </c>
      <c r="BA6" s="6">
        <v>-160</v>
      </c>
      <c r="BB6" s="6">
        <f t="shared" si="3"/>
        <v>100</v>
      </c>
    </row>
    <row r="7" spans="2:54" ht="13.5">
      <c r="B7" s="6">
        <f>Data!CH4</f>
        <v>127.16588366441414</v>
      </c>
      <c r="C7" s="6">
        <f>Data!CI4</f>
        <v>-300</v>
      </c>
      <c r="D7" s="6">
        <f>Data!CH6</f>
        <v>100.02957834678082</v>
      </c>
      <c r="E7" s="6">
        <f>Data!CI6</f>
        <v>-300</v>
      </c>
      <c r="F7" s="6">
        <f>Data!CH8</f>
        <v>80.43248029723931</v>
      </c>
      <c r="G7" s="6">
        <f>Data!CI8</f>
        <v>-300</v>
      </c>
      <c r="H7" s="6">
        <f>Data!CH10</f>
        <v>61.83099905605112</v>
      </c>
      <c r="I7" s="6">
        <f>Data!CI10</f>
        <v>-300</v>
      </c>
      <c r="J7" s="6">
        <f>Data!CH12</f>
        <v>44.11953752203411</v>
      </c>
      <c r="K7" s="6">
        <f>Data!CI12</f>
        <v>-300</v>
      </c>
      <c r="L7" s="6">
        <f>Data!CH14</f>
        <v>27.168020003670463</v>
      </c>
      <c r="M7" s="6">
        <f>Data!CI14</f>
        <v>-300</v>
      </c>
      <c r="N7" s="6">
        <f>Data!CH16</f>
        <v>10.838845152268412</v>
      </c>
      <c r="O7" s="6">
        <f>Data!CI16</f>
        <v>-300</v>
      </c>
      <c r="P7" s="6">
        <f>Data!CH18</f>
        <v>-5.005464247564716</v>
      </c>
      <c r="Q7" s="6">
        <f>Data!CI18</f>
        <v>-300</v>
      </c>
      <c r="R7" s="6">
        <f>Data!CH20</f>
        <v>-20.499557194983304</v>
      </c>
      <c r="S7" s="6">
        <f>Data!CI20</f>
        <v>-300</v>
      </c>
      <c r="T7" s="6">
        <f>Data!CH22</f>
        <v>-35.775221266905326</v>
      </c>
      <c r="U7" s="6">
        <f>Data!CI22</f>
        <v>-300</v>
      </c>
      <c r="V7" s="6">
        <f>Data!CH24</f>
        <v>-50.964982385636745</v>
      </c>
      <c r="W7" s="6">
        <f>Data!CI24</f>
        <v>-300</v>
      </c>
      <c r="X7" s="6">
        <f>Data!CH26</f>
        <v>-66.19377402189104</v>
      </c>
      <c r="Y7" s="6">
        <f>Data!CI26</f>
        <v>-300</v>
      </c>
      <c r="Z7" s="6">
        <f>Data!CH28</f>
        <v>-81.60336692290267</v>
      </c>
      <c r="AA7" s="6">
        <f>Data!CI28</f>
        <v>-300</v>
      </c>
      <c r="AB7" s="6">
        <f>Data!CH30</f>
        <v>-97.33461258857723</v>
      </c>
      <c r="AC7" s="6">
        <f>Data!CI30</f>
        <v>-300</v>
      </c>
      <c r="AD7" s="6">
        <f>Data!CH32</f>
        <v>-113.542494089526</v>
      </c>
      <c r="AE7" s="6">
        <f>Data!CI32</f>
        <v>-300</v>
      </c>
      <c r="AF7" s="6">
        <f>Data!CH34</f>
        <v>-130.39926124424886</v>
      </c>
      <c r="AG7" s="6">
        <f>Data!CI34</f>
        <v>-300</v>
      </c>
      <c r="AH7" s="6">
        <f>Data!CH36</f>
        <v>-148.10099185063302</v>
      </c>
      <c r="AI7" s="6">
        <f>Data!CI36</f>
        <v>-300</v>
      </c>
      <c r="AJ7" s="6">
        <f>Data!CH38</f>
        <v>-166.87601736638223</v>
      </c>
      <c r="AK7" s="6">
        <f>Data!CI38</f>
        <v>-300</v>
      </c>
      <c r="AL7" s="6">
        <f>Data!CH40</f>
        <v>-186.9961765100601</v>
      </c>
      <c r="AM7" s="6">
        <f>Data!CI40</f>
        <v>-300</v>
      </c>
      <c r="AN7" s="6">
        <f>Data!CH42</f>
        <v>-208.79263291516747</v>
      </c>
      <c r="AO7" s="6">
        <f>Data!CI42</f>
        <v>-300</v>
      </c>
      <c r="AP7" s="6">
        <f>Data!CH44</f>
        <v>-232.67969898234426</v>
      </c>
      <c r="AQ7" s="6">
        <f>Data!CI44</f>
        <v>-300</v>
      </c>
      <c r="AS7" s="40">
        <v>3</v>
      </c>
      <c r="AT7" s="40">
        <f t="shared" si="0"/>
        <v>0.1884955592153876</v>
      </c>
      <c r="AU7" s="40">
        <f t="shared" si="4"/>
        <v>50</v>
      </c>
      <c r="AV7" s="40">
        <f t="shared" si="5"/>
        <v>1000</v>
      </c>
      <c r="AW7" s="40">
        <f t="shared" si="6"/>
        <v>-51</v>
      </c>
      <c r="AX7" s="40">
        <f t="shared" si="1"/>
        <v>1049.1143625364343</v>
      </c>
      <c r="AY7" s="40">
        <f t="shared" si="2"/>
        <v>-41.630934270713766</v>
      </c>
      <c r="BA7" s="6">
        <v>-140</v>
      </c>
      <c r="BB7" s="6">
        <f t="shared" si="3"/>
        <v>100</v>
      </c>
    </row>
    <row r="8" spans="45:54" ht="13.5">
      <c r="AS8" s="40">
        <v>4</v>
      </c>
      <c r="AT8" s="40">
        <f t="shared" si="0"/>
        <v>0.25132741228718347</v>
      </c>
      <c r="AU8" s="40">
        <f>AU7</f>
        <v>50</v>
      </c>
      <c r="AV8" s="40">
        <f>AV7</f>
        <v>1000</v>
      </c>
      <c r="AW8" s="40">
        <f>AW7</f>
        <v>-51</v>
      </c>
      <c r="AX8" s="40">
        <f t="shared" si="1"/>
        <v>1048.4291580564316</v>
      </c>
      <c r="AY8" s="40">
        <f t="shared" si="2"/>
        <v>-38.56550564175726</v>
      </c>
      <c r="BA8" s="6">
        <v>-120</v>
      </c>
      <c r="BB8" s="6">
        <f t="shared" si="3"/>
        <v>100</v>
      </c>
    </row>
    <row r="9" spans="45:54" ht="13.5">
      <c r="AS9" s="40">
        <v>5</v>
      </c>
      <c r="AT9" s="40">
        <f t="shared" si="0"/>
        <v>0.3141592653589793</v>
      </c>
      <c r="AU9" s="40">
        <f t="shared" si="4"/>
        <v>50</v>
      </c>
      <c r="AV9" s="40">
        <f t="shared" si="5"/>
        <v>1000</v>
      </c>
      <c r="AW9" s="40">
        <f t="shared" si="6"/>
        <v>-51</v>
      </c>
      <c r="AX9" s="40">
        <f t="shared" si="1"/>
        <v>1047.5528258147576</v>
      </c>
      <c r="AY9" s="40">
        <f t="shared" si="2"/>
        <v>-35.54915028125263</v>
      </c>
      <c r="BA9" s="6">
        <v>-100</v>
      </c>
      <c r="BB9" s="6">
        <f t="shared" si="3"/>
        <v>100</v>
      </c>
    </row>
    <row r="10" spans="2:54" ht="13.5">
      <c r="B10" s="57">
        <f>Data!D4</f>
        <v>-447.44048302144057</v>
      </c>
      <c r="C10" s="57">
        <f>Data!E4</f>
        <v>300</v>
      </c>
      <c r="D10" s="57">
        <f>Data!D6</f>
        <v>-388.54820935168595</v>
      </c>
      <c r="E10" s="57">
        <f>Data!E6</f>
        <v>300</v>
      </c>
      <c r="F10" s="57">
        <f>Data!D8</f>
        <v>-337.3939153772921</v>
      </c>
      <c r="G10" s="57">
        <f>Data!E8</f>
        <v>300</v>
      </c>
      <c r="H10" s="57">
        <f>Data!D10</f>
        <v>-292.0025205303415</v>
      </c>
      <c r="I10" s="57">
        <f>Data!E10</f>
        <v>300</v>
      </c>
      <c r="J10" s="57">
        <f>Data!D12</f>
        <v>-250.9557858578256</v>
      </c>
      <c r="K10" s="57">
        <f>Data!E12</f>
        <v>300</v>
      </c>
      <c r="L10" s="57">
        <f>Data!D14</f>
        <v>-213.19818243293045</v>
      </c>
      <c r="M10" s="57">
        <f>Data!E14</f>
        <v>300</v>
      </c>
      <c r="N10" s="57">
        <f>Data!D16</f>
        <v>-177.91631041655458</v>
      </c>
      <c r="O10" s="57">
        <f>Data!E16</f>
        <v>300</v>
      </c>
      <c r="P10" s="57">
        <f>Data!D18</f>
        <v>-144.46064724778347</v>
      </c>
      <c r="Q10" s="57">
        <f>Data!E18</f>
        <v>300</v>
      </c>
      <c r="R10" s="57">
        <f>Data!D20</f>
        <v>-112.29247184379102</v>
      </c>
      <c r="S10" s="57">
        <f>Data!E20</f>
        <v>300</v>
      </c>
      <c r="T10" s="57">
        <f>Data!D22</f>
        <v>-80.94604641731566</v>
      </c>
      <c r="U10" s="57">
        <f>Data!E22</f>
        <v>300</v>
      </c>
      <c r="V10" s="57">
        <f>Data!D24</f>
        <v>-49.99613999999987</v>
      </c>
      <c r="W10" s="57">
        <f>Data!E24</f>
        <v>300</v>
      </c>
      <c r="X10" s="57">
        <f>Data!D26</f>
        <v>-19.053953582683604</v>
      </c>
      <c r="Y10" s="57">
        <f>Data!E26</f>
        <v>300</v>
      </c>
      <c r="Z10" s="57">
        <f>Data!D28</f>
        <v>12.292471843791823</v>
      </c>
      <c r="AA10" s="57">
        <f>Data!E28</f>
        <v>300</v>
      </c>
      <c r="AB10" s="57">
        <f>Data!D30</f>
        <v>44.460647247783484</v>
      </c>
      <c r="AC10" s="57">
        <f>Data!E30</f>
        <v>300</v>
      </c>
      <c r="AD10" s="57">
        <f>Data!D32</f>
        <v>77.91631041655458</v>
      </c>
      <c r="AE10" s="57">
        <f>Data!E32</f>
        <v>300</v>
      </c>
      <c r="AF10" s="57">
        <f>Data!D34</f>
        <v>113.19818243293045</v>
      </c>
      <c r="AG10" s="57">
        <f>Data!E34</f>
        <v>300</v>
      </c>
      <c r="AH10" s="57">
        <f>Data!D36</f>
        <v>150.9557858578256</v>
      </c>
      <c r="AI10" s="57">
        <f>Data!E36</f>
        <v>300</v>
      </c>
      <c r="AJ10" s="57">
        <f>Data!D38</f>
        <v>192.0025205303415</v>
      </c>
      <c r="AK10" s="57">
        <f>Data!E38</f>
        <v>300</v>
      </c>
      <c r="AL10" s="57">
        <f>Data!D40</f>
        <v>237.3939153772921</v>
      </c>
      <c r="AM10" s="57">
        <f>Data!E40</f>
        <v>300</v>
      </c>
      <c r="AN10" s="57">
        <f>Data!D42</f>
        <v>288.54820935168595</v>
      </c>
      <c r="AO10" s="57">
        <f>Data!E42</f>
        <v>300</v>
      </c>
      <c r="AP10" s="57">
        <f>Data!D44</f>
        <v>347.44048302144057</v>
      </c>
      <c r="AQ10" s="57">
        <f>Data!E44</f>
        <v>300</v>
      </c>
      <c r="AS10" s="40">
        <v>6</v>
      </c>
      <c r="AT10" s="40">
        <f t="shared" si="0"/>
        <v>0.3769911184307752</v>
      </c>
      <c r="AU10" s="40">
        <f t="shared" si="4"/>
        <v>50</v>
      </c>
      <c r="AV10" s="40">
        <f t="shared" si="5"/>
        <v>1000</v>
      </c>
      <c r="AW10" s="40">
        <f t="shared" si="6"/>
        <v>-51</v>
      </c>
      <c r="AX10" s="40">
        <f t="shared" si="1"/>
        <v>1046.4888242944126</v>
      </c>
      <c r="AY10" s="40">
        <f t="shared" si="2"/>
        <v>-32.5937723657661</v>
      </c>
      <c r="BA10" s="6">
        <v>-80</v>
      </c>
      <c r="BB10" s="6">
        <f t="shared" si="3"/>
        <v>100</v>
      </c>
    </row>
    <row r="11" spans="2:54" ht="13.5">
      <c r="B11" s="81">
        <f>Data!N4</f>
        <v>211.5281934907925</v>
      </c>
      <c r="C11" s="81">
        <f>Data!O4</f>
        <v>-340</v>
      </c>
      <c r="D11" s="81">
        <f>Data!N6</f>
        <v>172.77524656820788</v>
      </c>
      <c r="E11" s="81">
        <f>Data!O6</f>
        <v>-340</v>
      </c>
      <c r="F11" s="81">
        <f>Data!N8</f>
        <v>139.11413084412482</v>
      </c>
      <c r="G11" s="81">
        <f>Data!O8</f>
        <v>-340</v>
      </c>
      <c r="H11" s="81">
        <f>Data!N10</f>
        <v>109.2451819033854</v>
      </c>
      <c r="I11" s="81">
        <f>Data!O10</f>
        <v>-340</v>
      </c>
      <c r="J11" s="81">
        <f>Data!N12</f>
        <v>82.23515442457952</v>
      </c>
      <c r="K11" s="81">
        <f>Data!O12</f>
        <v>-340</v>
      </c>
      <c r="L11" s="81">
        <f>Data!N14</f>
        <v>57.38947755949309</v>
      </c>
      <c r="M11" s="81">
        <f>Data!O14</f>
        <v>-340</v>
      </c>
      <c r="N11" s="81">
        <f>Data!N16</f>
        <v>34.172908926955614</v>
      </c>
      <c r="O11" s="81">
        <f>Data!O16</f>
        <v>-340</v>
      </c>
      <c r="P11" s="81">
        <f>Data!N18</f>
        <v>12.158042489474099</v>
      </c>
      <c r="Q11" s="81">
        <f>Data!O18</f>
        <v>-340</v>
      </c>
      <c r="R11" s="81">
        <f>Data!N20</f>
        <v>-9.00961697325667</v>
      </c>
      <c r="S11" s="81">
        <f>Data!O20</f>
        <v>-340</v>
      </c>
      <c r="T11" s="81">
        <f>Data!N22</f>
        <v>-29.6365394041498</v>
      </c>
      <c r="U11" s="81">
        <f>Data!O22</f>
        <v>-340</v>
      </c>
      <c r="V11" s="81">
        <f>Data!N24</f>
        <v>-50.00254000000008</v>
      </c>
      <c r="W11" s="81">
        <f>Data!O24</f>
        <v>-340</v>
      </c>
      <c r="X11" s="81">
        <f>Data!N26</f>
        <v>-70.36346059585068</v>
      </c>
      <c r="Y11" s="81">
        <f>Data!O26</f>
        <v>-340</v>
      </c>
      <c r="Z11" s="81">
        <f>Data!N28</f>
        <v>-90.99038302674384</v>
      </c>
      <c r="AA11" s="81">
        <f>Data!O28</f>
        <v>-340</v>
      </c>
      <c r="AB11" s="81">
        <f>Data!N30</f>
        <v>-112.15804248947408</v>
      </c>
      <c r="AC11" s="81">
        <f>Data!O30</f>
        <v>-340</v>
      </c>
      <c r="AD11" s="81">
        <f>Data!N32</f>
        <v>-134.1729089269556</v>
      </c>
      <c r="AE11" s="81">
        <f>Data!O32</f>
        <v>-340</v>
      </c>
      <c r="AF11" s="81">
        <f>Data!N34</f>
        <v>-157.3894775594931</v>
      </c>
      <c r="AG11" s="81">
        <f>Data!O34</f>
        <v>-340</v>
      </c>
      <c r="AH11" s="81">
        <f>Data!N36</f>
        <v>-182.23515442457952</v>
      </c>
      <c r="AI11" s="81">
        <f>Data!O36</f>
        <v>-340</v>
      </c>
      <c r="AJ11" s="81">
        <f>Data!N38</f>
        <v>-209.24518190338537</v>
      </c>
      <c r="AK11" s="81">
        <f>Data!O38</f>
        <v>-340</v>
      </c>
      <c r="AL11" s="81">
        <f>Data!N40</f>
        <v>-239.11413084412482</v>
      </c>
      <c r="AM11" s="81">
        <f>Data!O40</f>
        <v>-340</v>
      </c>
      <c r="AN11" s="81">
        <f>Data!N42</f>
        <v>-272.7752465682079</v>
      </c>
      <c r="AO11" s="81">
        <f>Data!O42</f>
        <v>-340</v>
      </c>
      <c r="AP11" s="81">
        <f>Data!N44</f>
        <v>-311.5281934907925</v>
      </c>
      <c r="AQ11" s="81">
        <f>Data!O44</f>
        <v>-340</v>
      </c>
      <c r="AS11" s="40">
        <v>7</v>
      </c>
      <c r="AT11" s="40">
        <f t="shared" si="0"/>
        <v>0.4398229715025711</v>
      </c>
      <c r="AU11" s="40">
        <f t="shared" si="4"/>
        <v>50</v>
      </c>
      <c r="AV11" s="40">
        <f t="shared" si="5"/>
        <v>1000</v>
      </c>
      <c r="AW11" s="40">
        <f t="shared" si="6"/>
        <v>-51</v>
      </c>
      <c r="AX11" s="40">
        <f t="shared" si="1"/>
        <v>1045.241352623301</v>
      </c>
      <c r="AY11" s="40">
        <f t="shared" si="2"/>
        <v>-29.711035421746363</v>
      </c>
      <c r="BA11" s="6">
        <v>-60</v>
      </c>
      <c r="BB11" s="6">
        <f t="shared" si="3"/>
        <v>100</v>
      </c>
    </row>
    <row r="12" spans="4:54" ht="14.25"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8"/>
      <c r="P12" s="18"/>
      <c r="Q12" s="18"/>
      <c r="R12" s="18"/>
      <c r="AS12" s="40">
        <v>8</v>
      </c>
      <c r="AT12" s="40">
        <f t="shared" si="0"/>
        <v>0.5026548245743669</v>
      </c>
      <c r="AU12" s="40">
        <f t="shared" si="4"/>
        <v>50</v>
      </c>
      <c r="AV12" s="40">
        <f t="shared" si="5"/>
        <v>1000</v>
      </c>
      <c r="AW12" s="40">
        <f t="shared" si="6"/>
        <v>-51</v>
      </c>
      <c r="AX12" s="40">
        <f t="shared" si="1"/>
        <v>1043.8153340021931</v>
      </c>
      <c r="AY12" s="40">
        <f t="shared" si="2"/>
        <v>-26.912316294914234</v>
      </c>
      <c r="BA12" s="6">
        <v>-40</v>
      </c>
      <c r="BB12" s="6">
        <f t="shared" si="3"/>
        <v>100</v>
      </c>
    </row>
    <row r="13" spans="4:54" ht="14.25" customHeight="1">
      <c r="D13" s="62"/>
      <c r="E13" s="67"/>
      <c r="F13" s="62"/>
      <c r="G13" s="62"/>
      <c r="H13" s="62"/>
      <c r="I13" s="62"/>
      <c r="J13" s="62"/>
      <c r="K13" s="62"/>
      <c r="L13" s="62"/>
      <c r="M13" s="62"/>
      <c r="N13" s="62"/>
      <c r="O13" s="113" t="s">
        <v>135</v>
      </c>
      <c r="P13" s="114"/>
      <c r="Q13" s="96" t="s">
        <v>145</v>
      </c>
      <c r="R13" s="97"/>
      <c r="S13" s="97"/>
      <c r="T13" s="98"/>
      <c r="U13" s="98"/>
      <c r="V13" s="98"/>
      <c r="W13" s="98"/>
      <c r="X13" s="93"/>
      <c r="AS13" s="40">
        <v>9</v>
      </c>
      <c r="AT13" s="40">
        <f t="shared" si="0"/>
        <v>0.5654866776461628</v>
      </c>
      <c r="AU13" s="40">
        <f t="shared" si="4"/>
        <v>50</v>
      </c>
      <c r="AV13" s="40">
        <f t="shared" si="5"/>
        <v>1000</v>
      </c>
      <c r="AW13" s="40">
        <f t="shared" si="6"/>
        <v>-51</v>
      </c>
      <c r="AX13" s="40">
        <f t="shared" si="1"/>
        <v>1042.2163962751008</v>
      </c>
      <c r="AY13" s="40">
        <f t="shared" si="2"/>
        <v>-24.208660251050166</v>
      </c>
      <c r="BA13" s="6">
        <v>-20</v>
      </c>
      <c r="BB13" s="6">
        <f t="shared" si="3"/>
        <v>100</v>
      </c>
    </row>
    <row r="14" spans="4:54" ht="13.5">
      <c r="D14" s="110"/>
      <c r="E14" s="110"/>
      <c r="F14" s="62"/>
      <c r="G14" s="62"/>
      <c r="H14" s="62"/>
      <c r="I14" s="62"/>
      <c r="J14" s="62"/>
      <c r="K14" s="62"/>
      <c r="L14" s="62"/>
      <c r="M14" s="62"/>
      <c r="N14" s="62"/>
      <c r="O14" s="114"/>
      <c r="P14" s="114"/>
      <c r="Q14" s="96" t="s">
        <v>146</v>
      </c>
      <c r="R14" s="97"/>
      <c r="S14" s="97"/>
      <c r="T14" s="98"/>
      <c r="U14" s="98"/>
      <c r="V14" s="98"/>
      <c r="W14" s="98"/>
      <c r="X14" s="93"/>
      <c r="AS14" s="40">
        <v>10</v>
      </c>
      <c r="AT14" s="40">
        <f t="shared" si="0"/>
        <v>0.6283185307179586</v>
      </c>
      <c r="AU14" s="40">
        <f t="shared" si="4"/>
        <v>50</v>
      </c>
      <c r="AV14" s="40">
        <f t="shared" si="5"/>
        <v>1000</v>
      </c>
      <c r="AW14" s="40">
        <f t="shared" si="6"/>
        <v>-51</v>
      </c>
      <c r="AX14" s="40">
        <f t="shared" si="1"/>
        <v>1040.4508497187473</v>
      </c>
      <c r="AY14" s="40">
        <f t="shared" si="2"/>
        <v>-21.610737385376343</v>
      </c>
      <c r="BA14" s="6">
        <v>0</v>
      </c>
      <c r="BB14" s="6">
        <f t="shared" si="3"/>
        <v>100</v>
      </c>
    </row>
    <row r="15" spans="4:54" ht="13.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86" t="s">
        <v>136</v>
      </c>
      <c r="P15" s="86" t="s">
        <v>137</v>
      </c>
      <c r="Q15" s="97"/>
      <c r="R15" s="97"/>
      <c r="S15" s="97"/>
      <c r="T15" s="98"/>
      <c r="U15" s="98"/>
      <c r="V15" s="98"/>
      <c r="W15" s="98"/>
      <c r="X15" s="93"/>
      <c r="AS15" s="40">
        <v>11</v>
      </c>
      <c r="AT15" s="40">
        <f t="shared" si="0"/>
        <v>0.6911503837897546</v>
      </c>
      <c r="AU15" s="40">
        <f t="shared" si="4"/>
        <v>50</v>
      </c>
      <c r="AV15" s="40">
        <f t="shared" si="5"/>
        <v>1000</v>
      </c>
      <c r="AW15" s="40">
        <f t="shared" si="6"/>
        <v>-51</v>
      </c>
      <c r="AX15" s="40">
        <f aca="true" t="shared" si="7" ref="AX15:AX78">AV15+AU15*COS(AT15)</f>
        <v>1038.5256621387894</v>
      </c>
      <c r="AY15" s="40">
        <f aca="true" t="shared" si="8" ref="AY15:AY78">AW15+AU15*SIN(AT15)</f>
        <v>-19.128800512565512</v>
      </c>
      <c r="BA15" s="6">
        <v>20</v>
      </c>
      <c r="BB15" s="6">
        <f t="shared" si="3"/>
        <v>100</v>
      </c>
    </row>
    <row r="16" spans="4:54" ht="13.5"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87">
        <v>-50</v>
      </c>
      <c r="P16" s="87">
        <v>-86</v>
      </c>
      <c r="Q16" s="96" t="s">
        <v>195</v>
      </c>
      <c r="R16" s="97"/>
      <c r="S16" s="97"/>
      <c r="T16" s="98"/>
      <c r="U16" s="98"/>
      <c r="V16" s="98"/>
      <c r="W16" s="98"/>
      <c r="X16" s="93"/>
      <c r="AS16" s="40">
        <v>12</v>
      </c>
      <c r="AT16" s="40">
        <f t="shared" si="0"/>
        <v>0.7539822368615504</v>
      </c>
      <c r="AU16" s="40">
        <f t="shared" si="4"/>
        <v>50</v>
      </c>
      <c r="AV16" s="40">
        <f t="shared" si="5"/>
        <v>1000</v>
      </c>
      <c r="AW16" s="40">
        <f t="shared" si="6"/>
        <v>-51</v>
      </c>
      <c r="AX16" s="40">
        <f t="shared" si="7"/>
        <v>1036.4484313710707</v>
      </c>
      <c r="AY16" s="40">
        <f t="shared" si="8"/>
        <v>-16.77264470356556</v>
      </c>
      <c r="BA16" s="6">
        <v>40</v>
      </c>
      <c r="BB16" s="6">
        <f t="shared" si="3"/>
        <v>100</v>
      </c>
    </row>
    <row r="17" spans="4:54" ht="13.5">
      <c r="D17" s="62"/>
      <c r="E17" s="110" t="s">
        <v>196</v>
      </c>
      <c r="F17" s="62"/>
      <c r="G17" s="62"/>
      <c r="H17" s="62"/>
      <c r="I17" s="62"/>
      <c r="J17" s="62"/>
      <c r="K17" s="62"/>
      <c r="L17" s="62"/>
      <c r="M17" s="62"/>
      <c r="N17" s="62"/>
      <c r="O17" s="88">
        <v>0</v>
      </c>
      <c r="P17" s="88">
        <v>-50</v>
      </c>
      <c r="Q17" s="96" t="s">
        <v>147</v>
      </c>
      <c r="R17" s="97"/>
      <c r="S17" s="97"/>
      <c r="T17" s="98"/>
      <c r="U17" s="98"/>
      <c r="V17" s="98"/>
      <c r="W17" s="98"/>
      <c r="X17" s="93"/>
      <c r="AS17" s="40">
        <v>13</v>
      </c>
      <c r="AT17" s="40">
        <f t="shared" si="0"/>
        <v>0.8168140899333463</v>
      </c>
      <c r="AU17" s="40">
        <f t="shared" si="4"/>
        <v>50</v>
      </c>
      <c r="AV17" s="40">
        <f t="shared" si="5"/>
        <v>1000</v>
      </c>
      <c r="AW17" s="40">
        <f t="shared" si="6"/>
        <v>-51</v>
      </c>
      <c r="AX17" s="40">
        <f t="shared" si="7"/>
        <v>1034.2273552964343</v>
      </c>
      <c r="AY17" s="40">
        <f t="shared" si="8"/>
        <v>-14.551568628929424</v>
      </c>
      <c r="BA17" s="6">
        <v>60</v>
      </c>
      <c r="BB17" s="6">
        <f t="shared" si="3"/>
        <v>100</v>
      </c>
    </row>
    <row r="18" spans="4:54" ht="14.25" customHeight="1"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13" t="s">
        <v>140</v>
      </c>
      <c r="P18" s="113"/>
      <c r="Q18" s="113"/>
      <c r="R18" s="114"/>
      <c r="S18" s="96" t="s">
        <v>149</v>
      </c>
      <c r="T18" s="98"/>
      <c r="U18" s="98"/>
      <c r="V18" s="98"/>
      <c r="W18" s="98"/>
      <c r="X18" s="93"/>
      <c r="AS18" s="40">
        <v>14</v>
      </c>
      <c r="AT18" s="40">
        <f t="shared" si="0"/>
        <v>0.8796459430051422</v>
      </c>
      <c r="AU18" s="40">
        <f t="shared" si="4"/>
        <v>50</v>
      </c>
      <c r="AV18" s="40">
        <f t="shared" si="5"/>
        <v>1000</v>
      </c>
      <c r="AW18" s="40">
        <f t="shared" si="6"/>
        <v>-51</v>
      </c>
      <c r="AX18" s="40">
        <f t="shared" si="7"/>
        <v>1031.8711994874345</v>
      </c>
      <c r="AY18" s="40">
        <f t="shared" si="8"/>
        <v>-12.474337861210536</v>
      </c>
      <c r="BA18" s="6">
        <v>80</v>
      </c>
      <c r="BB18" s="6">
        <f t="shared" si="3"/>
        <v>100</v>
      </c>
    </row>
    <row r="19" spans="4:54" ht="13.5"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13"/>
      <c r="P19" s="113"/>
      <c r="Q19" s="113"/>
      <c r="R19" s="114"/>
      <c r="S19" s="97"/>
      <c r="T19" s="98"/>
      <c r="U19" s="98"/>
      <c r="V19" s="98"/>
      <c r="W19" s="98"/>
      <c r="X19" s="93"/>
      <c r="AS19" s="40">
        <v>15</v>
      </c>
      <c r="AT19" s="40">
        <f t="shared" si="0"/>
        <v>0.942477796076938</v>
      </c>
      <c r="AU19" s="40">
        <f t="shared" si="4"/>
        <v>50</v>
      </c>
      <c r="AV19" s="40">
        <f t="shared" si="5"/>
        <v>1000</v>
      </c>
      <c r="AW19" s="40">
        <f t="shared" si="6"/>
        <v>-51</v>
      </c>
      <c r="AX19" s="40">
        <f t="shared" si="7"/>
        <v>1029.3892626146237</v>
      </c>
      <c r="AY19" s="40">
        <f t="shared" si="8"/>
        <v>-10.54915028125263</v>
      </c>
      <c r="BA19" s="6">
        <v>100</v>
      </c>
      <c r="BB19" s="6">
        <f t="shared" si="3"/>
        <v>100</v>
      </c>
    </row>
    <row r="20" spans="4:54" ht="13.5">
      <c r="D20" s="62"/>
      <c r="E20" s="110"/>
      <c r="F20" s="62"/>
      <c r="G20" s="62"/>
      <c r="H20" s="62"/>
      <c r="I20" s="62"/>
      <c r="J20" s="62"/>
      <c r="K20" s="62"/>
      <c r="L20" s="62"/>
      <c r="M20" s="62"/>
      <c r="N20" s="62"/>
      <c r="O20" s="86" t="s">
        <v>141</v>
      </c>
      <c r="P20" s="86" t="s">
        <v>142</v>
      </c>
      <c r="Q20" s="86" t="s">
        <v>143</v>
      </c>
      <c r="R20" s="86" t="s">
        <v>151</v>
      </c>
      <c r="S20" s="96" t="s">
        <v>150</v>
      </c>
      <c r="T20" s="98"/>
      <c r="U20" s="98"/>
      <c r="V20" s="98"/>
      <c r="W20" s="98"/>
      <c r="X20" s="93"/>
      <c r="AS20" s="40">
        <v>16</v>
      </c>
      <c r="AT20" s="40">
        <f t="shared" si="0"/>
        <v>1.0053096491487339</v>
      </c>
      <c r="AU20" s="40">
        <f t="shared" si="4"/>
        <v>50</v>
      </c>
      <c r="AV20" s="40">
        <f t="shared" si="5"/>
        <v>1000</v>
      </c>
      <c r="AW20" s="40">
        <f t="shared" si="6"/>
        <v>-51</v>
      </c>
      <c r="AX20" s="40">
        <f t="shared" si="7"/>
        <v>1026.79133974895</v>
      </c>
      <c r="AY20" s="40">
        <f t="shared" si="8"/>
        <v>-8.783603724899244</v>
      </c>
      <c r="BA20" s="6">
        <v>120</v>
      </c>
      <c r="BB20" s="6">
        <f t="shared" si="3"/>
        <v>100</v>
      </c>
    </row>
    <row r="21" spans="4:54" ht="13.5"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87">
        <v>1000</v>
      </c>
      <c r="P21" s="87">
        <v>-51</v>
      </c>
      <c r="Q21" s="89">
        <v>1.375</v>
      </c>
      <c r="R21" s="90">
        <v>50</v>
      </c>
      <c r="S21" s="96" t="s">
        <v>148</v>
      </c>
      <c r="T21" s="98"/>
      <c r="U21" s="98"/>
      <c r="V21" s="98"/>
      <c r="W21" s="98"/>
      <c r="X21" s="93"/>
      <c r="AS21" s="40">
        <v>17</v>
      </c>
      <c r="AT21" s="40">
        <f t="shared" si="0"/>
        <v>1.0681415022205298</v>
      </c>
      <c r="AU21" s="40">
        <f t="shared" si="4"/>
        <v>50</v>
      </c>
      <c r="AV21" s="40">
        <f t="shared" si="5"/>
        <v>1000</v>
      </c>
      <c r="AW21" s="40">
        <f t="shared" si="6"/>
        <v>-51</v>
      </c>
      <c r="AX21" s="40">
        <f t="shared" si="7"/>
        <v>1024.0876837050857</v>
      </c>
      <c r="AY21" s="40">
        <f t="shared" si="8"/>
        <v>-7.1846659978068175</v>
      </c>
      <c r="BA21" s="6">
        <v>140</v>
      </c>
      <c r="BB21" s="6">
        <f t="shared" si="3"/>
        <v>100</v>
      </c>
    </row>
    <row r="22" spans="4:54" ht="14.25">
      <c r="D22" s="62"/>
      <c r="E22" s="62"/>
      <c r="F22" s="62"/>
      <c r="G22" s="62"/>
      <c r="H22" s="62"/>
      <c r="I22" s="62"/>
      <c r="J22" s="62"/>
      <c r="K22" s="62"/>
      <c r="L22" s="83" t="s">
        <v>130</v>
      </c>
      <c r="M22" s="77">
        <f>Q26</f>
        <v>100</v>
      </c>
      <c r="N22" s="62"/>
      <c r="O22" s="88">
        <v>0</v>
      </c>
      <c r="P22" s="88">
        <v>-30</v>
      </c>
      <c r="Q22" s="88">
        <v>1.5</v>
      </c>
      <c r="R22" s="88">
        <v>25</v>
      </c>
      <c r="S22" s="96" t="s">
        <v>147</v>
      </c>
      <c r="T22" s="98"/>
      <c r="U22" s="98"/>
      <c r="V22" s="98"/>
      <c r="W22" s="98"/>
      <c r="X22" s="93"/>
      <c r="AS22" s="40">
        <v>18</v>
      </c>
      <c r="AT22" s="40">
        <f t="shared" si="0"/>
        <v>1.1309733552923256</v>
      </c>
      <c r="AU22" s="40">
        <f t="shared" si="4"/>
        <v>50</v>
      </c>
      <c r="AV22" s="40">
        <f t="shared" si="5"/>
        <v>1000</v>
      </c>
      <c r="AW22" s="40">
        <f t="shared" si="6"/>
        <v>-51</v>
      </c>
      <c r="AX22" s="40">
        <f t="shared" si="7"/>
        <v>1021.2889645782536</v>
      </c>
      <c r="AY22" s="40">
        <f t="shared" si="8"/>
        <v>-5.758647376699024</v>
      </c>
      <c r="BA22" s="6">
        <v>160</v>
      </c>
      <c r="BB22" s="6">
        <f t="shared" si="3"/>
        <v>100</v>
      </c>
    </row>
    <row r="23" spans="4:54" ht="14.25" customHeight="1">
      <c r="D23" s="62"/>
      <c r="E23" s="62"/>
      <c r="F23" s="62"/>
      <c r="G23" s="62"/>
      <c r="H23" s="62"/>
      <c r="I23" s="62"/>
      <c r="J23" s="62"/>
      <c r="K23" s="62"/>
      <c r="L23" s="83" t="s">
        <v>131</v>
      </c>
      <c r="M23" s="68">
        <f>P26</f>
        <v>1.515</v>
      </c>
      <c r="N23" s="62"/>
      <c r="O23" s="116" t="s">
        <v>153</v>
      </c>
      <c r="P23" s="118" t="s">
        <v>154</v>
      </c>
      <c r="Q23" s="119"/>
      <c r="R23" s="92"/>
      <c r="S23" s="97"/>
      <c r="T23" s="98"/>
      <c r="U23" s="98"/>
      <c r="V23" s="98"/>
      <c r="W23" s="98"/>
      <c r="X23" s="93"/>
      <c r="AS23" s="40">
        <v>19</v>
      </c>
      <c r="AT23" s="40">
        <f t="shared" si="0"/>
        <v>1.1938052083641215</v>
      </c>
      <c r="AU23" s="40">
        <f t="shared" si="4"/>
        <v>50</v>
      </c>
      <c r="AV23" s="40">
        <f t="shared" si="5"/>
        <v>1000</v>
      </c>
      <c r="AW23" s="40">
        <f t="shared" si="6"/>
        <v>-51</v>
      </c>
      <c r="AX23" s="40">
        <f t="shared" si="7"/>
        <v>1018.4062276342339</v>
      </c>
      <c r="AY23" s="40">
        <f t="shared" si="8"/>
        <v>-4.511175705587426</v>
      </c>
      <c r="BA23" s="6">
        <v>180</v>
      </c>
      <c r="BB23" s="6">
        <f t="shared" si="3"/>
        <v>100</v>
      </c>
    </row>
    <row r="24" spans="4:54" ht="14.25">
      <c r="D24" s="62"/>
      <c r="E24" s="62"/>
      <c r="F24" s="62"/>
      <c r="G24" s="62"/>
      <c r="H24" s="62"/>
      <c r="I24" s="62"/>
      <c r="J24" s="62"/>
      <c r="K24" s="62"/>
      <c r="L24" s="83" t="s">
        <v>132</v>
      </c>
      <c r="M24" s="68">
        <f>P31</f>
        <v>1.333</v>
      </c>
      <c r="N24" s="62"/>
      <c r="O24" s="117"/>
      <c r="P24" s="120"/>
      <c r="Q24" s="121"/>
      <c r="R24" s="96" t="s">
        <v>152</v>
      </c>
      <c r="S24" s="97"/>
      <c r="T24" s="98"/>
      <c r="U24" s="98"/>
      <c r="V24" s="98"/>
      <c r="W24" s="98"/>
      <c r="X24" s="98"/>
      <c r="AS24" s="40">
        <v>20</v>
      </c>
      <c r="AT24" s="40">
        <f t="shared" si="0"/>
        <v>1.2566370614359172</v>
      </c>
      <c r="AU24" s="40">
        <f t="shared" si="4"/>
        <v>50</v>
      </c>
      <c r="AV24" s="40">
        <f t="shared" si="5"/>
        <v>1000</v>
      </c>
      <c r="AW24" s="40">
        <f t="shared" si="6"/>
        <v>-51</v>
      </c>
      <c r="AX24" s="40">
        <f t="shared" si="7"/>
        <v>1015.4508497187473</v>
      </c>
      <c r="AY24" s="40">
        <f t="shared" si="8"/>
        <v>-3.447174185242325</v>
      </c>
      <c r="BA24" s="6">
        <v>200</v>
      </c>
      <c r="BB24" s="6">
        <f t="shared" si="3"/>
        <v>100</v>
      </c>
    </row>
    <row r="25" spans="4:51" ht="14.25" customHeight="1">
      <c r="D25" s="62"/>
      <c r="E25" s="62"/>
      <c r="F25" s="62"/>
      <c r="G25" s="62"/>
      <c r="H25" s="62"/>
      <c r="I25" s="62"/>
      <c r="J25" s="62"/>
      <c r="K25" s="62"/>
      <c r="L25" s="83" t="s">
        <v>133</v>
      </c>
      <c r="M25" s="68">
        <f>Q31</f>
        <v>1.333</v>
      </c>
      <c r="N25" s="63"/>
      <c r="O25" s="102" t="s">
        <v>139</v>
      </c>
      <c r="P25" s="103" t="s">
        <v>155</v>
      </c>
      <c r="Q25" s="104" t="s">
        <v>144</v>
      </c>
      <c r="R25" s="96" t="s">
        <v>156</v>
      </c>
      <c r="S25" s="97"/>
      <c r="T25" s="98"/>
      <c r="U25" s="98"/>
      <c r="V25" s="98"/>
      <c r="W25" s="98"/>
      <c r="X25" s="98"/>
      <c r="AS25" s="40">
        <v>21</v>
      </c>
      <c r="AT25" s="40">
        <f t="shared" si="0"/>
        <v>1.3194689145077132</v>
      </c>
      <c r="AU25" s="40">
        <f t="shared" si="4"/>
        <v>50</v>
      </c>
      <c r="AV25" s="40">
        <f t="shared" si="5"/>
        <v>1000</v>
      </c>
      <c r="AW25" s="40">
        <f t="shared" si="6"/>
        <v>-51</v>
      </c>
      <c r="AX25" s="40">
        <f t="shared" si="7"/>
        <v>1012.4344943582428</v>
      </c>
      <c r="AY25" s="40">
        <f t="shared" si="8"/>
        <v>-2.570841943568446</v>
      </c>
    </row>
    <row r="26" spans="4:51" ht="14.25">
      <c r="D26" s="62"/>
      <c r="E26" s="110" t="s">
        <v>154</v>
      </c>
      <c r="F26" s="62"/>
      <c r="G26" s="62"/>
      <c r="H26" s="62"/>
      <c r="I26" s="62"/>
      <c r="J26" s="62"/>
      <c r="K26" s="62"/>
      <c r="L26" s="83" t="s">
        <v>134</v>
      </c>
      <c r="M26" s="68">
        <f>Q21</f>
        <v>1.375</v>
      </c>
      <c r="N26" s="65"/>
      <c r="O26" s="99">
        <v>-300</v>
      </c>
      <c r="P26" s="100">
        <v>1.515</v>
      </c>
      <c r="Q26" s="101">
        <v>100</v>
      </c>
      <c r="R26" s="97"/>
      <c r="S26" s="97"/>
      <c r="T26" s="98"/>
      <c r="U26" s="98"/>
      <c r="V26" s="98"/>
      <c r="W26" s="98"/>
      <c r="X26" s="98"/>
      <c r="AS26" s="40">
        <v>22</v>
      </c>
      <c r="AT26" s="40">
        <f t="shared" si="0"/>
        <v>1.3823007675795091</v>
      </c>
      <c r="AU26" s="40">
        <f t="shared" si="4"/>
        <v>50</v>
      </c>
      <c r="AV26" s="40">
        <f t="shared" si="5"/>
        <v>1000</v>
      </c>
      <c r="AW26" s="40">
        <f t="shared" si="6"/>
        <v>-51</v>
      </c>
      <c r="AX26" s="40">
        <f t="shared" si="7"/>
        <v>1009.3690657292863</v>
      </c>
      <c r="AY26" s="40">
        <f t="shared" si="8"/>
        <v>-1.8856374635655655</v>
      </c>
    </row>
    <row r="27" spans="4:51" ht="14.25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5"/>
      <c r="O27" s="95">
        <v>-200</v>
      </c>
      <c r="P27" s="88">
        <v>1.515</v>
      </c>
      <c r="Q27" s="88">
        <v>100</v>
      </c>
      <c r="R27" s="96" t="s">
        <v>147</v>
      </c>
      <c r="S27" s="97"/>
      <c r="T27" s="98"/>
      <c r="U27" s="98"/>
      <c r="V27" s="98"/>
      <c r="W27" s="98"/>
      <c r="X27" s="98"/>
      <c r="AS27" s="40">
        <v>23</v>
      </c>
      <c r="AT27" s="40">
        <f t="shared" si="0"/>
        <v>1.4451326206513049</v>
      </c>
      <c r="AU27" s="40">
        <f t="shared" si="4"/>
        <v>50</v>
      </c>
      <c r="AV27" s="40">
        <f t="shared" si="5"/>
        <v>1000</v>
      </c>
      <c r="AW27" s="40">
        <f t="shared" si="6"/>
        <v>-51</v>
      </c>
      <c r="AX27" s="40">
        <f t="shared" si="7"/>
        <v>1006.2666616782152</v>
      </c>
      <c r="AY27" s="40">
        <f t="shared" si="8"/>
        <v>-1.3942649342761086</v>
      </c>
    </row>
    <row r="28" spans="4:51" ht="14.25" customHeight="1">
      <c r="D28" s="62"/>
      <c r="E28" s="110"/>
      <c r="F28" s="62"/>
      <c r="G28" s="62"/>
      <c r="H28" s="62"/>
      <c r="I28" s="62"/>
      <c r="J28" s="62"/>
      <c r="K28" s="62"/>
      <c r="L28" s="62"/>
      <c r="M28" s="62"/>
      <c r="N28" s="65"/>
      <c r="O28" s="85"/>
      <c r="P28" s="115" t="s">
        <v>157</v>
      </c>
      <c r="Q28" s="115" t="s">
        <v>138</v>
      </c>
      <c r="R28" s="97"/>
      <c r="S28" s="97"/>
      <c r="T28" s="98"/>
      <c r="U28" s="98"/>
      <c r="V28" s="98"/>
      <c r="W28" s="98"/>
      <c r="X28" s="98"/>
      <c r="AS28" s="40">
        <v>24</v>
      </c>
      <c r="AT28" s="40">
        <f t="shared" si="0"/>
        <v>1.5079644737231008</v>
      </c>
      <c r="AU28" s="40">
        <f t="shared" si="4"/>
        <v>50</v>
      </c>
      <c r="AV28" s="40">
        <f t="shared" si="5"/>
        <v>1000</v>
      </c>
      <c r="AW28" s="40">
        <f t="shared" si="6"/>
        <v>-51</v>
      </c>
      <c r="AX28" s="40">
        <f t="shared" si="7"/>
        <v>1003.1395259764656</v>
      </c>
      <c r="AY28" s="40">
        <f t="shared" si="8"/>
        <v>-1.0986635785864252</v>
      </c>
    </row>
    <row r="29" spans="4:51" ht="14.25">
      <c r="D29" s="62"/>
      <c r="E29" s="62"/>
      <c r="F29" s="62"/>
      <c r="G29" s="62"/>
      <c r="H29" s="62"/>
      <c r="I29" s="62"/>
      <c r="J29" s="62"/>
      <c r="K29" s="62"/>
      <c r="L29" s="67"/>
      <c r="M29" s="68"/>
      <c r="N29" s="65"/>
      <c r="O29" s="85"/>
      <c r="P29" s="115"/>
      <c r="Q29" s="115"/>
      <c r="R29" s="96" t="s">
        <v>162</v>
      </c>
      <c r="S29" s="97"/>
      <c r="T29" s="98"/>
      <c r="U29" s="98"/>
      <c r="V29" s="98"/>
      <c r="W29" s="98"/>
      <c r="X29" s="98"/>
      <c r="AS29" s="40">
        <v>25</v>
      </c>
      <c r="AT29" s="40">
        <f t="shared" si="0"/>
        <v>1.5707963267948968</v>
      </c>
      <c r="AU29" s="40">
        <f t="shared" si="4"/>
        <v>50</v>
      </c>
      <c r="AV29" s="40">
        <f t="shared" si="5"/>
        <v>1000</v>
      </c>
      <c r="AW29" s="40">
        <f t="shared" si="6"/>
        <v>-51</v>
      </c>
      <c r="AX29" s="40">
        <f t="shared" si="7"/>
        <v>1000</v>
      </c>
      <c r="AY29" s="40">
        <f t="shared" si="8"/>
        <v>-1</v>
      </c>
    </row>
    <row r="30" spans="4:51" ht="15">
      <c r="D30" s="62"/>
      <c r="E30" s="62"/>
      <c r="F30" s="62"/>
      <c r="G30" s="62"/>
      <c r="H30" s="62"/>
      <c r="I30" s="62"/>
      <c r="J30" s="62"/>
      <c r="K30" s="62"/>
      <c r="L30" s="67"/>
      <c r="M30" s="68"/>
      <c r="N30" s="65"/>
      <c r="O30" s="85"/>
      <c r="P30" s="94" t="s">
        <v>159</v>
      </c>
      <c r="Q30" s="94" t="s">
        <v>160</v>
      </c>
      <c r="R30" s="96" t="s">
        <v>148</v>
      </c>
      <c r="S30" s="97"/>
      <c r="T30" s="98"/>
      <c r="U30" s="98"/>
      <c r="V30" s="98"/>
      <c r="W30" s="98"/>
      <c r="X30" s="98"/>
      <c r="AS30" s="40">
        <v>26</v>
      </c>
      <c r="AT30" s="40">
        <f t="shared" si="0"/>
        <v>1.6336281798666925</v>
      </c>
      <c r="AU30" s="40">
        <f t="shared" si="4"/>
        <v>50</v>
      </c>
      <c r="AV30" s="40">
        <f t="shared" si="5"/>
        <v>1000</v>
      </c>
      <c r="AW30" s="40">
        <f t="shared" si="6"/>
        <v>-51</v>
      </c>
      <c r="AX30" s="40">
        <f t="shared" si="7"/>
        <v>996.8604740235344</v>
      </c>
      <c r="AY30" s="40">
        <f t="shared" si="8"/>
        <v>-1.0986635785864252</v>
      </c>
    </row>
    <row r="31" spans="4:51" ht="13.5">
      <c r="D31" s="62"/>
      <c r="E31" s="62"/>
      <c r="F31" s="62"/>
      <c r="G31" s="62"/>
      <c r="H31" s="62"/>
      <c r="I31" s="62"/>
      <c r="J31" s="62"/>
      <c r="K31" s="62"/>
      <c r="L31" s="69"/>
      <c r="M31" s="70"/>
      <c r="N31" s="66"/>
      <c r="O31"/>
      <c r="P31" s="89">
        <v>1.333</v>
      </c>
      <c r="Q31" s="89">
        <v>1.333</v>
      </c>
      <c r="R31" s="96" t="s">
        <v>147</v>
      </c>
      <c r="S31" s="97"/>
      <c r="T31" s="98"/>
      <c r="U31" s="98"/>
      <c r="V31" s="98"/>
      <c r="W31" s="98"/>
      <c r="X31" s="98"/>
      <c r="AS31" s="40">
        <v>27</v>
      </c>
      <c r="AT31" s="40">
        <f t="shared" si="0"/>
        <v>1.6964600329384885</v>
      </c>
      <c r="AU31" s="40">
        <f t="shared" si="4"/>
        <v>50</v>
      </c>
      <c r="AV31" s="40">
        <f t="shared" si="5"/>
        <v>1000</v>
      </c>
      <c r="AW31" s="40">
        <f t="shared" si="6"/>
        <v>-51</v>
      </c>
      <c r="AX31" s="40">
        <f t="shared" si="7"/>
        <v>993.7333383217848</v>
      </c>
      <c r="AY31" s="40">
        <f t="shared" si="8"/>
        <v>-1.3942649342761086</v>
      </c>
    </row>
    <row r="32" spans="4:51" ht="13.5">
      <c r="D32" s="62"/>
      <c r="E32" s="110" t="s">
        <v>197</v>
      </c>
      <c r="F32" s="62"/>
      <c r="G32" s="62"/>
      <c r="H32" s="62"/>
      <c r="I32" s="62"/>
      <c r="J32" s="62"/>
      <c r="K32" s="62"/>
      <c r="L32" s="69"/>
      <c r="M32" s="70"/>
      <c r="N32" s="66"/>
      <c r="O32"/>
      <c r="P32" s="88">
        <v>1.515</v>
      </c>
      <c r="Q32" s="88">
        <v>1.333</v>
      </c>
      <c r="R32" s="97"/>
      <c r="S32" s="97"/>
      <c r="T32" s="98"/>
      <c r="U32" s="98"/>
      <c r="V32" s="98"/>
      <c r="W32" s="98"/>
      <c r="X32" s="98"/>
      <c r="AS32" s="40">
        <v>28</v>
      </c>
      <c r="AT32" s="40">
        <f t="shared" si="0"/>
        <v>1.7592918860102844</v>
      </c>
      <c r="AU32" s="40">
        <f t="shared" si="4"/>
        <v>50</v>
      </c>
      <c r="AV32" s="40">
        <f t="shared" si="5"/>
        <v>1000</v>
      </c>
      <c r="AW32" s="40">
        <f t="shared" si="6"/>
        <v>-51</v>
      </c>
      <c r="AX32" s="40">
        <f t="shared" si="7"/>
        <v>990.6309342707137</v>
      </c>
      <c r="AY32" s="40">
        <f t="shared" si="8"/>
        <v>-1.8856374635655726</v>
      </c>
    </row>
    <row r="33" spans="4:51" ht="14.25">
      <c r="D33" s="62"/>
      <c r="E33" s="62"/>
      <c r="F33" s="62"/>
      <c r="G33" s="62"/>
      <c r="H33" s="62"/>
      <c r="I33" s="62"/>
      <c r="J33" s="62"/>
      <c r="K33" s="62"/>
      <c r="L33" s="69"/>
      <c r="M33" s="70"/>
      <c r="N33" s="66"/>
      <c r="O33" s="18"/>
      <c r="P33" s="18"/>
      <c r="Q33" s="18"/>
      <c r="R33" s="18"/>
      <c r="AS33" s="40">
        <v>29</v>
      </c>
      <c r="AT33" s="40">
        <f t="shared" si="0"/>
        <v>1.8221237390820801</v>
      </c>
      <c r="AU33" s="40">
        <f t="shared" si="4"/>
        <v>50</v>
      </c>
      <c r="AV33" s="40">
        <f t="shared" si="5"/>
        <v>1000</v>
      </c>
      <c r="AW33" s="40">
        <f t="shared" si="6"/>
        <v>-51</v>
      </c>
      <c r="AX33" s="40">
        <f t="shared" si="7"/>
        <v>987.5655056417572</v>
      </c>
      <c r="AY33" s="40">
        <f t="shared" si="8"/>
        <v>-2.570841943568446</v>
      </c>
    </row>
    <row r="34" spans="4:51" ht="14.25">
      <c r="D34" s="62"/>
      <c r="E34" s="62"/>
      <c r="F34" s="62"/>
      <c r="G34" s="62"/>
      <c r="H34" s="62"/>
      <c r="I34" s="62"/>
      <c r="J34" s="62"/>
      <c r="K34" s="62"/>
      <c r="L34" s="69"/>
      <c r="M34" s="70"/>
      <c r="N34" s="66"/>
      <c r="Q34" s="18"/>
      <c r="R34" s="18"/>
      <c r="AS34" s="40">
        <v>30</v>
      </c>
      <c r="AT34" s="40">
        <f t="shared" si="0"/>
        <v>1.884955592153876</v>
      </c>
      <c r="AU34" s="40">
        <f t="shared" si="4"/>
        <v>50</v>
      </c>
      <c r="AV34" s="40">
        <f t="shared" si="5"/>
        <v>1000</v>
      </c>
      <c r="AW34" s="40">
        <f t="shared" si="6"/>
        <v>-51</v>
      </c>
      <c r="AX34" s="40">
        <f t="shared" si="7"/>
        <v>984.5491502812527</v>
      </c>
      <c r="AY34" s="40">
        <f t="shared" si="8"/>
        <v>-3.447174185242325</v>
      </c>
    </row>
    <row r="35" spans="4:51" ht="14.25">
      <c r="D35" s="62"/>
      <c r="E35" s="62"/>
      <c r="F35" s="62"/>
      <c r="G35" s="62"/>
      <c r="H35" s="62"/>
      <c r="I35" s="62"/>
      <c r="J35" s="62"/>
      <c r="K35" s="62"/>
      <c r="L35" s="69"/>
      <c r="M35" s="70"/>
      <c r="N35" s="66"/>
      <c r="Q35" s="18"/>
      <c r="R35" s="18"/>
      <c r="AS35" s="40">
        <v>31</v>
      </c>
      <c r="AT35" s="40">
        <f t="shared" si="0"/>
        <v>1.9477874452256718</v>
      </c>
      <c r="AU35" s="40">
        <f t="shared" si="4"/>
        <v>50</v>
      </c>
      <c r="AV35" s="40">
        <f t="shared" si="5"/>
        <v>1000</v>
      </c>
      <c r="AW35" s="40">
        <f t="shared" si="6"/>
        <v>-51</v>
      </c>
      <c r="AX35" s="40">
        <f t="shared" si="7"/>
        <v>981.5937723657661</v>
      </c>
      <c r="AY35" s="40">
        <f t="shared" si="8"/>
        <v>-4.5111757055874335</v>
      </c>
    </row>
    <row r="36" spans="4:51" ht="14.25">
      <c r="D36" s="62"/>
      <c r="E36" s="62"/>
      <c r="F36" s="62"/>
      <c r="G36" s="62"/>
      <c r="H36" s="62"/>
      <c r="I36" s="62"/>
      <c r="J36" s="62"/>
      <c r="K36" s="62"/>
      <c r="L36" s="69"/>
      <c r="M36" s="70"/>
      <c r="N36" s="66"/>
      <c r="Q36" s="111"/>
      <c r="R36" s="18"/>
      <c r="AS36" s="40">
        <v>32</v>
      </c>
      <c r="AT36" s="40">
        <f t="shared" si="0"/>
        <v>2.0106192982974678</v>
      </c>
      <c r="AU36" s="40">
        <f t="shared" si="4"/>
        <v>50</v>
      </c>
      <c r="AV36" s="40">
        <f t="shared" si="5"/>
        <v>1000</v>
      </c>
      <c r="AW36" s="40">
        <f t="shared" si="6"/>
        <v>-51</v>
      </c>
      <c r="AX36" s="40">
        <f t="shared" si="7"/>
        <v>978.7110354217464</v>
      </c>
      <c r="AY36" s="40">
        <f t="shared" si="8"/>
        <v>-5.758647376699024</v>
      </c>
    </row>
    <row r="37" spans="4:51" ht="13.5">
      <c r="D37" s="62"/>
      <c r="E37" s="110"/>
      <c r="F37" s="62"/>
      <c r="G37" s="62"/>
      <c r="H37" s="62"/>
      <c r="I37" s="62"/>
      <c r="J37" s="62"/>
      <c r="K37" s="62"/>
      <c r="L37" s="69"/>
      <c r="M37" s="70"/>
      <c r="N37" s="66"/>
      <c r="Q37" s="112"/>
      <c r="AS37" s="40">
        <v>33</v>
      </c>
      <c r="AT37" s="40">
        <f t="shared" si="0"/>
        <v>2.0734511513692637</v>
      </c>
      <c r="AU37" s="40">
        <f t="shared" si="4"/>
        <v>50</v>
      </c>
      <c r="AV37" s="40">
        <f t="shared" si="5"/>
        <v>1000</v>
      </c>
      <c r="AW37" s="40">
        <f t="shared" si="6"/>
        <v>-51</v>
      </c>
      <c r="AX37" s="40">
        <f t="shared" si="7"/>
        <v>975.9123162949143</v>
      </c>
      <c r="AY37" s="40">
        <f t="shared" si="8"/>
        <v>-7.184665997806825</v>
      </c>
    </row>
    <row r="38" spans="4:51" ht="13.5">
      <c r="D38" s="62"/>
      <c r="E38" s="62"/>
      <c r="F38" s="62"/>
      <c r="G38" s="62"/>
      <c r="H38" s="62"/>
      <c r="I38" s="62"/>
      <c r="J38" s="62"/>
      <c r="K38" s="62"/>
      <c r="L38" s="69"/>
      <c r="M38" s="70"/>
      <c r="N38" s="66"/>
      <c r="Q38" s="112"/>
      <c r="AS38" s="40">
        <v>34</v>
      </c>
      <c r="AT38" s="40">
        <f t="shared" si="0"/>
        <v>2.1362830044410597</v>
      </c>
      <c r="AU38" s="40">
        <f t="shared" si="4"/>
        <v>50</v>
      </c>
      <c r="AV38" s="40">
        <f t="shared" si="5"/>
        <v>1000</v>
      </c>
      <c r="AW38" s="40">
        <f t="shared" si="6"/>
        <v>-51</v>
      </c>
      <c r="AX38" s="40">
        <f t="shared" si="7"/>
        <v>973.2086602510501</v>
      </c>
      <c r="AY38" s="40">
        <f t="shared" si="8"/>
        <v>-8.783603724899251</v>
      </c>
    </row>
    <row r="39" spans="4:51" ht="13.5">
      <c r="D39" s="62"/>
      <c r="E39" s="62"/>
      <c r="F39" s="62"/>
      <c r="G39" s="62"/>
      <c r="H39" s="62"/>
      <c r="I39" s="62"/>
      <c r="J39" s="62"/>
      <c r="K39" s="62"/>
      <c r="L39" s="69"/>
      <c r="M39" s="70"/>
      <c r="N39" s="66"/>
      <c r="Q39" s="112"/>
      <c r="AS39" s="40">
        <v>35</v>
      </c>
      <c r="AT39" s="40">
        <f t="shared" si="0"/>
        <v>2.199114857512855</v>
      </c>
      <c r="AU39" s="40">
        <f t="shared" si="4"/>
        <v>50</v>
      </c>
      <c r="AV39" s="40">
        <f t="shared" si="5"/>
        <v>1000</v>
      </c>
      <c r="AW39" s="40">
        <f t="shared" si="6"/>
        <v>-51</v>
      </c>
      <c r="AX39" s="40">
        <f t="shared" si="7"/>
        <v>970.6107373853763</v>
      </c>
      <c r="AY39" s="40">
        <f t="shared" si="8"/>
        <v>-10.54915028125263</v>
      </c>
    </row>
    <row r="40" spans="4:51" ht="13.5">
      <c r="D40" s="62"/>
      <c r="E40" s="62"/>
      <c r="F40" s="62"/>
      <c r="G40" s="62"/>
      <c r="H40" s="62"/>
      <c r="I40" s="62"/>
      <c r="J40" s="62"/>
      <c r="K40" s="62"/>
      <c r="L40" s="69"/>
      <c r="M40" s="70"/>
      <c r="N40" s="66"/>
      <c r="Q40" s="112"/>
      <c r="AS40" s="40">
        <v>36</v>
      </c>
      <c r="AT40" s="40">
        <f t="shared" si="0"/>
        <v>2.261946710584651</v>
      </c>
      <c r="AU40" s="40">
        <f t="shared" si="4"/>
        <v>50</v>
      </c>
      <c r="AV40" s="40">
        <f t="shared" si="5"/>
        <v>1000</v>
      </c>
      <c r="AW40" s="40">
        <f t="shared" si="6"/>
        <v>-51</v>
      </c>
      <c r="AX40" s="40">
        <f t="shared" si="7"/>
        <v>968.1288005125655</v>
      </c>
      <c r="AY40" s="40">
        <f t="shared" si="8"/>
        <v>-12.474337861210536</v>
      </c>
    </row>
    <row r="41" spans="4:51" ht="13.5">
      <c r="D41" s="62"/>
      <c r="E41" s="62"/>
      <c r="F41" s="62"/>
      <c r="G41" s="62"/>
      <c r="H41" s="62"/>
      <c r="I41" s="62"/>
      <c r="J41" s="62"/>
      <c r="K41" s="62"/>
      <c r="L41" s="69"/>
      <c r="M41" s="70"/>
      <c r="N41" s="66"/>
      <c r="AS41" s="40">
        <v>37</v>
      </c>
      <c r="AT41" s="40">
        <f t="shared" si="0"/>
        <v>2.324778563656447</v>
      </c>
      <c r="AU41" s="40">
        <f t="shared" si="4"/>
        <v>50</v>
      </c>
      <c r="AV41" s="40">
        <f t="shared" si="5"/>
        <v>1000</v>
      </c>
      <c r="AW41" s="40">
        <f t="shared" si="6"/>
        <v>-51</v>
      </c>
      <c r="AX41" s="40">
        <f t="shared" si="7"/>
        <v>965.7726447035656</v>
      </c>
      <c r="AY41" s="40">
        <f t="shared" si="8"/>
        <v>-14.55156862892943</v>
      </c>
    </row>
    <row r="42" spans="4:51" ht="13.5">
      <c r="D42" s="62"/>
      <c r="E42" s="62"/>
      <c r="F42" s="62"/>
      <c r="G42" s="62"/>
      <c r="H42" s="62"/>
      <c r="I42" s="62"/>
      <c r="J42" s="62"/>
      <c r="K42" s="62"/>
      <c r="L42" s="69"/>
      <c r="M42" s="70"/>
      <c r="N42" s="66"/>
      <c r="AS42" s="40">
        <v>38</v>
      </c>
      <c r="AT42" s="40">
        <f t="shared" si="0"/>
        <v>2.387610416728243</v>
      </c>
      <c r="AU42" s="40">
        <f t="shared" si="4"/>
        <v>50</v>
      </c>
      <c r="AV42" s="40">
        <f t="shared" si="5"/>
        <v>1000</v>
      </c>
      <c r="AW42" s="40">
        <f t="shared" si="6"/>
        <v>-51</v>
      </c>
      <c r="AX42" s="40">
        <f t="shared" si="7"/>
        <v>963.5515686289294</v>
      </c>
      <c r="AY42" s="40">
        <f t="shared" si="8"/>
        <v>-16.772644703565575</v>
      </c>
    </row>
    <row r="43" spans="4:51" ht="13.5">
      <c r="D43" s="62"/>
      <c r="E43" s="62"/>
      <c r="F43" s="62"/>
      <c r="G43" s="62"/>
      <c r="H43" s="62"/>
      <c r="I43" s="62"/>
      <c r="J43" s="62"/>
      <c r="K43" s="62"/>
      <c r="L43" s="69"/>
      <c r="M43" s="70"/>
      <c r="N43" s="66"/>
      <c r="AS43" s="40">
        <v>39</v>
      </c>
      <c r="AT43" s="40">
        <f t="shared" si="0"/>
        <v>2.450442269800039</v>
      </c>
      <c r="AU43" s="40">
        <f t="shared" si="4"/>
        <v>50</v>
      </c>
      <c r="AV43" s="40">
        <f t="shared" si="5"/>
        <v>1000</v>
      </c>
      <c r="AW43" s="40">
        <f t="shared" si="6"/>
        <v>-51</v>
      </c>
      <c r="AX43" s="40">
        <f t="shared" si="7"/>
        <v>961.4743378612105</v>
      </c>
      <c r="AY43" s="40">
        <f t="shared" si="8"/>
        <v>-19.128800512565522</v>
      </c>
    </row>
    <row r="44" spans="4:51" ht="13.5">
      <c r="D44" s="62"/>
      <c r="E44" s="62"/>
      <c r="F44" s="62"/>
      <c r="G44" s="62"/>
      <c r="H44" s="62"/>
      <c r="I44" s="62"/>
      <c r="J44" s="62"/>
      <c r="K44" s="62"/>
      <c r="L44" s="69"/>
      <c r="M44" s="70"/>
      <c r="N44" s="66"/>
      <c r="AS44" s="40">
        <v>40</v>
      </c>
      <c r="AT44" s="40">
        <f t="shared" si="0"/>
        <v>2.5132741228718345</v>
      </c>
      <c r="AU44" s="40">
        <f t="shared" si="4"/>
        <v>50</v>
      </c>
      <c r="AV44" s="40">
        <f t="shared" si="5"/>
        <v>1000</v>
      </c>
      <c r="AW44" s="40">
        <f t="shared" si="6"/>
        <v>-51</v>
      </c>
      <c r="AX44" s="40">
        <f t="shared" si="7"/>
        <v>959.5491502812527</v>
      </c>
      <c r="AY44" s="40">
        <f t="shared" si="8"/>
        <v>-21.61073738537634</v>
      </c>
    </row>
    <row r="45" spans="4:51" ht="13.5">
      <c r="D45" s="62"/>
      <c r="E45" s="62"/>
      <c r="F45" s="62"/>
      <c r="G45" s="62"/>
      <c r="H45" s="62"/>
      <c r="I45" s="62"/>
      <c r="J45" s="62"/>
      <c r="K45" s="62"/>
      <c r="L45" s="69"/>
      <c r="M45" s="70"/>
      <c r="N45" s="66"/>
      <c r="AS45" s="40">
        <v>41</v>
      </c>
      <c r="AT45" s="40">
        <f t="shared" si="0"/>
        <v>2.5761059759436304</v>
      </c>
      <c r="AU45" s="40">
        <f t="shared" si="4"/>
        <v>50</v>
      </c>
      <c r="AV45" s="40">
        <f t="shared" si="5"/>
        <v>1000</v>
      </c>
      <c r="AW45" s="40">
        <f t="shared" si="6"/>
        <v>-51</v>
      </c>
      <c r="AX45" s="40">
        <f t="shared" si="7"/>
        <v>957.7836037248992</v>
      </c>
      <c r="AY45" s="40">
        <f t="shared" si="8"/>
        <v>-24.208660251050166</v>
      </c>
    </row>
    <row r="46" spans="4:51" ht="13.5">
      <c r="D46" s="62"/>
      <c r="E46" s="62"/>
      <c r="F46" s="62"/>
      <c r="G46" s="62"/>
      <c r="H46" s="62"/>
      <c r="I46" s="62"/>
      <c r="J46" s="62"/>
      <c r="K46" s="62"/>
      <c r="L46" s="69"/>
      <c r="M46" s="70"/>
      <c r="N46" s="66"/>
      <c r="AS46" s="40">
        <v>42</v>
      </c>
      <c r="AT46" s="40">
        <f t="shared" si="0"/>
        <v>2.6389378290154264</v>
      </c>
      <c r="AU46" s="40">
        <f t="shared" si="4"/>
        <v>50</v>
      </c>
      <c r="AV46" s="40">
        <f t="shared" si="5"/>
        <v>1000</v>
      </c>
      <c r="AW46" s="40">
        <f t="shared" si="6"/>
        <v>-51</v>
      </c>
      <c r="AX46" s="40">
        <f t="shared" si="7"/>
        <v>956.1846659978069</v>
      </c>
      <c r="AY46" s="40">
        <f t="shared" si="8"/>
        <v>-26.91231629491424</v>
      </c>
    </row>
    <row r="47" spans="4:51" ht="13.5">
      <c r="D47" s="62"/>
      <c r="E47" s="62"/>
      <c r="F47" s="62"/>
      <c r="G47" s="62"/>
      <c r="H47" s="62"/>
      <c r="I47" s="62"/>
      <c r="J47" s="62"/>
      <c r="K47" s="62"/>
      <c r="L47" s="69"/>
      <c r="M47" s="70"/>
      <c r="N47" s="66"/>
      <c r="AS47" s="40">
        <v>43</v>
      </c>
      <c r="AT47" s="40">
        <f t="shared" si="0"/>
        <v>2.7017696820872223</v>
      </c>
      <c r="AU47" s="40">
        <f t="shared" si="4"/>
        <v>50</v>
      </c>
      <c r="AV47" s="40">
        <f t="shared" si="5"/>
        <v>1000</v>
      </c>
      <c r="AW47" s="40">
        <f t="shared" si="6"/>
        <v>-51</v>
      </c>
      <c r="AX47" s="40">
        <f t="shared" si="7"/>
        <v>954.7586473766991</v>
      </c>
      <c r="AY47" s="40">
        <f t="shared" si="8"/>
        <v>-29.711035421746374</v>
      </c>
    </row>
    <row r="48" spans="4:51" ht="13.5">
      <c r="D48" s="62"/>
      <c r="E48" s="62"/>
      <c r="F48" s="62"/>
      <c r="G48" s="62"/>
      <c r="H48" s="62"/>
      <c r="I48" s="62"/>
      <c r="J48" s="62"/>
      <c r="K48" s="62"/>
      <c r="L48" s="69"/>
      <c r="M48" s="70"/>
      <c r="N48" s="66"/>
      <c r="AS48" s="40">
        <v>44</v>
      </c>
      <c r="AT48" s="40">
        <f t="shared" si="0"/>
        <v>2.7646015351590183</v>
      </c>
      <c r="AU48" s="40">
        <f t="shared" si="4"/>
        <v>50</v>
      </c>
      <c r="AV48" s="40">
        <f t="shared" si="5"/>
        <v>1000</v>
      </c>
      <c r="AW48" s="40">
        <f t="shared" si="6"/>
        <v>-51</v>
      </c>
      <c r="AX48" s="40">
        <f t="shared" si="7"/>
        <v>953.5111757055874</v>
      </c>
      <c r="AY48" s="40">
        <f t="shared" si="8"/>
        <v>-32.593772365766114</v>
      </c>
    </row>
    <row r="49" spans="4:51" ht="13.5">
      <c r="D49" s="62"/>
      <c r="E49" s="62"/>
      <c r="F49" s="62"/>
      <c r="G49" s="62"/>
      <c r="H49" s="62"/>
      <c r="I49" s="62"/>
      <c r="J49" s="62"/>
      <c r="K49" s="62"/>
      <c r="L49" s="69"/>
      <c r="M49" s="70"/>
      <c r="N49" s="66"/>
      <c r="AS49" s="40">
        <v>45</v>
      </c>
      <c r="AT49" s="40">
        <f t="shared" si="0"/>
        <v>2.8274333882308142</v>
      </c>
      <c r="AU49" s="40">
        <f t="shared" si="4"/>
        <v>50</v>
      </c>
      <c r="AV49" s="40">
        <f t="shared" si="5"/>
        <v>1000</v>
      </c>
      <c r="AW49" s="40">
        <f t="shared" si="6"/>
        <v>-51</v>
      </c>
      <c r="AX49" s="40">
        <f t="shared" si="7"/>
        <v>952.4471741852424</v>
      </c>
      <c r="AY49" s="40">
        <f t="shared" si="8"/>
        <v>-35.54915028125264</v>
      </c>
    </row>
    <row r="50" spans="4:51" ht="13.5">
      <c r="D50" s="62"/>
      <c r="E50" s="62"/>
      <c r="F50" s="62"/>
      <c r="G50" s="62"/>
      <c r="H50" s="62"/>
      <c r="I50" s="62"/>
      <c r="J50" s="62"/>
      <c r="K50" s="62"/>
      <c r="L50" s="69"/>
      <c r="M50" s="70"/>
      <c r="N50" s="66"/>
      <c r="AS50" s="40">
        <v>46</v>
      </c>
      <c r="AT50" s="40">
        <f t="shared" si="0"/>
        <v>2.8902652413026098</v>
      </c>
      <c r="AU50" s="40">
        <f t="shared" si="4"/>
        <v>50</v>
      </c>
      <c r="AV50" s="40">
        <f t="shared" si="5"/>
        <v>1000</v>
      </c>
      <c r="AW50" s="40">
        <f t="shared" si="6"/>
        <v>-51</v>
      </c>
      <c r="AX50" s="40">
        <f t="shared" si="7"/>
        <v>951.5708419435684</v>
      </c>
      <c r="AY50" s="40">
        <f t="shared" si="8"/>
        <v>-38.565505641757255</v>
      </c>
    </row>
    <row r="51" spans="4:51" ht="13.5">
      <c r="D51" s="62"/>
      <c r="E51" s="62"/>
      <c r="F51" s="62"/>
      <c r="G51" s="62"/>
      <c r="H51" s="62"/>
      <c r="I51" s="62"/>
      <c r="J51" s="62"/>
      <c r="K51" s="62"/>
      <c r="L51" s="69"/>
      <c r="M51" s="70"/>
      <c r="N51" s="66"/>
      <c r="AS51" s="40">
        <v>47</v>
      </c>
      <c r="AT51" s="40">
        <f t="shared" si="0"/>
        <v>2.9530970943744057</v>
      </c>
      <c r="AU51" s="40">
        <f t="shared" si="4"/>
        <v>50</v>
      </c>
      <c r="AV51" s="40">
        <f t="shared" si="5"/>
        <v>1000</v>
      </c>
      <c r="AW51" s="40">
        <f t="shared" si="6"/>
        <v>-51</v>
      </c>
      <c r="AX51" s="40">
        <f t="shared" si="7"/>
        <v>950.8856374635656</v>
      </c>
      <c r="AY51" s="40">
        <f t="shared" si="8"/>
        <v>-41.63093427071377</v>
      </c>
    </row>
    <row r="52" spans="4:51" ht="13.5">
      <c r="D52" s="62"/>
      <c r="E52" s="62"/>
      <c r="F52" s="62"/>
      <c r="G52" s="62"/>
      <c r="H52" s="62"/>
      <c r="I52" s="62"/>
      <c r="J52" s="62"/>
      <c r="K52" s="62"/>
      <c r="L52" s="69"/>
      <c r="M52" s="70"/>
      <c r="N52" s="66"/>
      <c r="AS52" s="40">
        <v>48</v>
      </c>
      <c r="AT52" s="40">
        <f t="shared" si="0"/>
        <v>3.0159289474462017</v>
      </c>
      <c r="AU52" s="40">
        <f t="shared" si="4"/>
        <v>50</v>
      </c>
      <c r="AV52" s="40">
        <f t="shared" si="5"/>
        <v>1000</v>
      </c>
      <c r="AW52" s="40">
        <f t="shared" si="6"/>
        <v>-51</v>
      </c>
      <c r="AX52" s="40">
        <f t="shared" si="7"/>
        <v>950.3942649342761</v>
      </c>
      <c r="AY52" s="40">
        <f t="shared" si="8"/>
        <v>-44.73333832178479</v>
      </c>
    </row>
    <row r="53" spans="12:51" ht="13.5">
      <c r="L53" s="72"/>
      <c r="M53" s="71"/>
      <c r="N53" s="64"/>
      <c r="AS53" s="40">
        <v>49</v>
      </c>
      <c r="AT53" s="40">
        <f t="shared" si="0"/>
        <v>3.0787608005179976</v>
      </c>
      <c r="AU53" s="40">
        <f t="shared" si="4"/>
        <v>50</v>
      </c>
      <c r="AV53" s="40">
        <f t="shared" si="5"/>
        <v>1000</v>
      </c>
      <c r="AW53" s="40">
        <f t="shared" si="6"/>
        <v>-51</v>
      </c>
      <c r="AX53" s="40">
        <f t="shared" si="7"/>
        <v>950.0986635785864</v>
      </c>
      <c r="AY53" s="40">
        <f t="shared" si="8"/>
        <v>-47.860474023534344</v>
      </c>
    </row>
    <row r="54" spans="12:51" ht="13.5">
      <c r="L54" s="5"/>
      <c r="M54" s="5"/>
      <c r="N54" s="64"/>
      <c r="AS54" s="40">
        <v>50</v>
      </c>
      <c r="AT54" s="40">
        <f t="shared" si="0"/>
        <v>3.1415926535897936</v>
      </c>
      <c r="AU54" s="40">
        <f t="shared" si="4"/>
        <v>50</v>
      </c>
      <c r="AV54" s="40">
        <f t="shared" si="5"/>
        <v>1000</v>
      </c>
      <c r="AW54" s="40">
        <f t="shared" si="6"/>
        <v>-51</v>
      </c>
      <c r="AX54" s="40">
        <f t="shared" si="7"/>
        <v>950</v>
      </c>
      <c r="AY54" s="40">
        <f t="shared" si="8"/>
        <v>-51.000000000000014</v>
      </c>
    </row>
    <row r="55" spans="12:51" ht="13.5">
      <c r="L55" s="5"/>
      <c r="M55" s="5"/>
      <c r="AS55" s="40">
        <v>51</v>
      </c>
      <c r="AT55" s="40">
        <f t="shared" si="0"/>
        <v>3.204424506661589</v>
      </c>
      <c r="AU55" s="40">
        <f t="shared" si="4"/>
        <v>50</v>
      </c>
      <c r="AV55" s="40">
        <f t="shared" si="5"/>
        <v>1000</v>
      </c>
      <c r="AW55" s="40">
        <f t="shared" si="6"/>
        <v>-51</v>
      </c>
      <c r="AX55" s="40">
        <f t="shared" si="7"/>
        <v>950.0986635785864</v>
      </c>
      <c r="AY55" s="40">
        <f t="shared" si="8"/>
        <v>-54.13952597646567</v>
      </c>
    </row>
    <row r="56" spans="12:51" ht="13.5">
      <c r="L56" s="5"/>
      <c r="M56" s="5"/>
      <c r="AS56" s="40">
        <v>52</v>
      </c>
      <c r="AT56" s="40">
        <f t="shared" si="0"/>
        <v>3.267256359733385</v>
      </c>
      <c r="AU56" s="40">
        <f t="shared" si="4"/>
        <v>50</v>
      </c>
      <c r="AV56" s="40">
        <f t="shared" si="5"/>
        <v>1000</v>
      </c>
      <c r="AW56" s="40">
        <f t="shared" si="6"/>
        <v>-51</v>
      </c>
      <c r="AX56" s="40">
        <f t="shared" si="7"/>
        <v>950.3942649342761</v>
      </c>
      <c r="AY56" s="40">
        <f t="shared" si="8"/>
        <v>-57.266661678215215</v>
      </c>
    </row>
    <row r="57" spans="45:51" ht="13.5">
      <c r="AS57" s="40">
        <v>53</v>
      </c>
      <c r="AT57" s="40">
        <f t="shared" si="0"/>
        <v>3.330088212805181</v>
      </c>
      <c r="AU57" s="40">
        <f t="shared" si="4"/>
        <v>50</v>
      </c>
      <c r="AV57" s="40">
        <f t="shared" si="5"/>
        <v>1000</v>
      </c>
      <c r="AW57" s="40">
        <f t="shared" si="6"/>
        <v>-51</v>
      </c>
      <c r="AX57" s="40">
        <f t="shared" si="7"/>
        <v>950.8856374635656</v>
      </c>
      <c r="AY57" s="40">
        <f t="shared" si="8"/>
        <v>-60.369065729286234</v>
      </c>
    </row>
    <row r="58" spans="45:51" ht="13.5">
      <c r="AS58" s="40">
        <v>54</v>
      </c>
      <c r="AT58" s="40">
        <f t="shared" si="0"/>
        <v>3.392920065876977</v>
      </c>
      <c r="AU58" s="40">
        <f t="shared" si="4"/>
        <v>50</v>
      </c>
      <c r="AV58" s="40">
        <f t="shared" si="5"/>
        <v>1000</v>
      </c>
      <c r="AW58" s="40">
        <f t="shared" si="6"/>
        <v>-51</v>
      </c>
      <c r="AX58" s="40">
        <f t="shared" si="7"/>
        <v>951.5708419435684</v>
      </c>
      <c r="AY58" s="40">
        <f t="shared" si="8"/>
        <v>-63.43449435824275</v>
      </c>
    </row>
    <row r="59" spans="45:51" ht="13.5">
      <c r="AS59" s="40">
        <v>55</v>
      </c>
      <c r="AT59" s="40">
        <f t="shared" si="0"/>
        <v>3.455751918948773</v>
      </c>
      <c r="AU59" s="40">
        <f t="shared" si="4"/>
        <v>50</v>
      </c>
      <c r="AV59" s="40">
        <f t="shared" si="5"/>
        <v>1000</v>
      </c>
      <c r="AW59" s="40">
        <f t="shared" si="6"/>
        <v>-51</v>
      </c>
      <c r="AX59" s="40">
        <f t="shared" si="7"/>
        <v>952.4471741852424</v>
      </c>
      <c r="AY59" s="40">
        <f t="shared" si="8"/>
        <v>-66.45084971874739</v>
      </c>
    </row>
    <row r="60" spans="45:51" ht="13.5">
      <c r="AS60" s="40">
        <v>56</v>
      </c>
      <c r="AT60" s="40">
        <f t="shared" si="0"/>
        <v>3.518583772020569</v>
      </c>
      <c r="AU60" s="40">
        <f t="shared" si="4"/>
        <v>50</v>
      </c>
      <c r="AV60" s="40">
        <f t="shared" si="5"/>
        <v>1000</v>
      </c>
      <c r="AW60" s="40">
        <f t="shared" si="6"/>
        <v>-51</v>
      </c>
      <c r="AX60" s="40">
        <f t="shared" si="7"/>
        <v>953.5111757055874</v>
      </c>
      <c r="AY60" s="40">
        <f t="shared" si="8"/>
        <v>-69.40622763423391</v>
      </c>
    </row>
    <row r="61" spans="45:51" ht="13.5">
      <c r="AS61" s="40">
        <v>57</v>
      </c>
      <c r="AT61" s="40">
        <f t="shared" si="0"/>
        <v>3.5814156250923643</v>
      </c>
      <c r="AU61" s="40">
        <f t="shared" si="4"/>
        <v>50</v>
      </c>
      <c r="AV61" s="40">
        <f t="shared" si="5"/>
        <v>1000</v>
      </c>
      <c r="AW61" s="40">
        <f t="shared" si="6"/>
        <v>-51</v>
      </c>
      <c r="AX61" s="40">
        <f t="shared" si="7"/>
        <v>954.7586473766991</v>
      </c>
      <c r="AY61" s="40">
        <f t="shared" si="8"/>
        <v>-72.28896457825363</v>
      </c>
    </row>
    <row r="62" spans="45:51" ht="13.5">
      <c r="AS62" s="40">
        <v>58</v>
      </c>
      <c r="AT62" s="40">
        <f t="shared" si="0"/>
        <v>3.6442474781641603</v>
      </c>
      <c r="AU62" s="40">
        <f t="shared" si="4"/>
        <v>50</v>
      </c>
      <c r="AV62" s="40">
        <f t="shared" si="5"/>
        <v>1000</v>
      </c>
      <c r="AW62" s="40">
        <f t="shared" si="6"/>
        <v>-51</v>
      </c>
      <c r="AX62" s="40">
        <f t="shared" si="7"/>
        <v>956.1846659978069</v>
      </c>
      <c r="AY62" s="40">
        <f t="shared" si="8"/>
        <v>-75.08768370508577</v>
      </c>
    </row>
    <row r="63" spans="45:51" ht="13.5">
      <c r="AS63" s="40">
        <v>59</v>
      </c>
      <c r="AT63" s="40">
        <f t="shared" si="0"/>
        <v>3.7070793312359562</v>
      </c>
      <c r="AU63" s="40">
        <f t="shared" si="4"/>
        <v>50</v>
      </c>
      <c r="AV63" s="40">
        <f t="shared" si="5"/>
        <v>1000</v>
      </c>
      <c r="AW63" s="40">
        <f t="shared" si="6"/>
        <v>-51</v>
      </c>
      <c r="AX63" s="40">
        <f t="shared" si="7"/>
        <v>957.7836037248992</v>
      </c>
      <c r="AY63" s="40">
        <f t="shared" si="8"/>
        <v>-77.79133974894984</v>
      </c>
    </row>
    <row r="64" spans="45:51" ht="13.5">
      <c r="AS64" s="40">
        <v>60</v>
      </c>
      <c r="AT64" s="40">
        <f t="shared" si="0"/>
        <v>3.769911184307752</v>
      </c>
      <c r="AU64" s="40">
        <f t="shared" si="4"/>
        <v>50</v>
      </c>
      <c r="AV64" s="40">
        <f t="shared" si="5"/>
        <v>1000</v>
      </c>
      <c r="AW64" s="40">
        <f t="shared" si="6"/>
        <v>-51</v>
      </c>
      <c r="AX64" s="40">
        <f t="shared" si="7"/>
        <v>959.5491502812527</v>
      </c>
      <c r="AY64" s="40">
        <f t="shared" si="8"/>
        <v>-80.38926261462368</v>
      </c>
    </row>
    <row r="65" spans="45:51" ht="13.5">
      <c r="AS65" s="40">
        <v>61</v>
      </c>
      <c r="AT65" s="40">
        <f t="shared" si="0"/>
        <v>3.832743037379548</v>
      </c>
      <c r="AU65" s="40">
        <f t="shared" si="4"/>
        <v>50</v>
      </c>
      <c r="AV65" s="40">
        <f t="shared" si="5"/>
        <v>1000</v>
      </c>
      <c r="AW65" s="40">
        <f t="shared" si="6"/>
        <v>-51</v>
      </c>
      <c r="AX65" s="40">
        <f t="shared" si="7"/>
        <v>961.4743378612105</v>
      </c>
      <c r="AY65" s="40">
        <f t="shared" si="8"/>
        <v>-82.8711994874345</v>
      </c>
    </row>
    <row r="66" spans="45:51" ht="13.5">
      <c r="AS66" s="40">
        <v>62</v>
      </c>
      <c r="AT66" s="40">
        <f t="shared" si="0"/>
        <v>3.8955748904513436</v>
      </c>
      <c r="AU66" s="40">
        <f t="shared" si="4"/>
        <v>50</v>
      </c>
      <c r="AV66" s="40">
        <f t="shared" si="5"/>
        <v>1000</v>
      </c>
      <c r="AW66" s="40">
        <f t="shared" si="6"/>
        <v>-51</v>
      </c>
      <c r="AX66" s="40">
        <f t="shared" si="7"/>
        <v>963.5515686289294</v>
      </c>
      <c r="AY66" s="40">
        <f t="shared" si="8"/>
        <v>-85.22735529643444</v>
      </c>
    </row>
    <row r="67" spans="45:51" ht="13.5">
      <c r="AS67" s="40">
        <v>63</v>
      </c>
      <c r="AT67" s="40">
        <f t="shared" si="0"/>
        <v>3.9584067435231396</v>
      </c>
      <c r="AU67" s="40">
        <f t="shared" si="4"/>
        <v>50</v>
      </c>
      <c r="AV67" s="40">
        <f t="shared" si="5"/>
        <v>1000</v>
      </c>
      <c r="AW67" s="40">
        <f t="shared" si="6"/>
        <v>-51</v>
      </c>
      <c r="AX67" s="40">
        <f t="shared" si="7"/>
        <v>965.7726447035656</v>
      </c>
      <c r="AY67" s="40">
        <f t="shared" si="8"/>
        <v>-87.44843137107057</v>
      </c>
    </row>
    <row r="68" spans="45:51" ht="13.5">
      <c r="AS68" s="40">
        <v>64</v>
      </c>
      <c r="AT68" s="40">
        <f t="shared" si="0"/>
        <v>4.0212385965949355</v>
      </c>
      <c r="AU68" s="40">
        <f t="shared" si="4"/>
        <v>50</v>
      </c>
      <c r="AV68" s="40">
        <f t="shared" si="5"/>
        <v>1000</v>
      </c>
      <c r="AW68" s="40">
        <f t="shared" si="6"/>
        <v>-51</v>
      </c>
      <c r="AX68" s="40">
        <f t="shared" si="7"/>
        <v>968.1288005125655</v>
      </c>
      <c r="AY68" s="40">
        <f t="shared" si="8"/>
        <v>-89.52566213878947</v>
      </c>
    </row>
    <row r="69" spans="45:51" ht="13.5">
      <c r="AS69" s="40">
        <v>65</v>
      </c>
      <c r="AT69" s="40">
        <f aca="true" t="shared" si="9" ref="AT69:AT104">PI()/50*AS69</f>
        <v>4.084070449666731</v>
      </c>
      <c r="AU69" s="40">
        <f t="shared" si="4"/>
        <v>50</v>
      </c>
      <c r="AV69" s="40">
        <f t="shared" si="5"/>
        <v>1000</v>
      </c>
      <c r="AW69" s="40">
        <f t="shared" si="6"/>
        <v>-51</v>
      </c>
      <c r="AX69" s="40">
        <f t="shared" si="7"/>
        <v>970.6107373853763</v>
      </c>
      <c r="AY69" s="40">
        <f t="shared" si="8"/>
        <v>-91.45084971874736</v>
      </c>
    </row>
    <row r="70" spans="45:51" ht="13.5">
      <c r="AS70" s="40">
        <v>66</v>
      </c>
      <c r="AT70" s="40">
        <f t="shared" si="9"/>
        <v>4.1469023027385274</v>
      </c>
      <c r="AU70" s="40">
        <f aca="true" t="shared" si="10" ref="AU70:AU104">AU69</f>
        <v>50</v>
      </c>
      <c r="AV70" s="40">
        <f aca="true" t="shared" si="11" ref="AV70:AV104">AV69</f>
        <v>1000</v>
      </c>
      <c r="AW70" s="40">
        <f aca="true" t="shared" si="12" ref="AW70:AW104">AW69</f>
        <v>-51</v>
      </c>
      <c r="AX70" s="40">
        <f t="shared" si="7"/>
        <v>973.2086602510502</v>
      </c>
      <c r="AY70" s="40">
        <f t="shared" si="8"/>
        <v>-93.21639627510076</v>
      </c>
    </row>
    <row r="71" spans="45:51" ht="13.5">
      <c r="AS71" s="40">
        <v>67</v>
      </c>
      <c r="AT71" s="40">
        <f t="shared" si="9"/>
        <v>4.209734155810323</v>
      </c>
      <c r="AU71" s="40">
        <f t="shared" si="10"/>
        <v>50</v>
      </c>
      <c r="AV71" s="40">
        <f t="shared" si="11"/>
        <v>1000</v>
      </c>
      <c r="AW71" s="40">
        <f t="shared" si="12"/>
        <v>-51</v>
      </c>
      <c r="AX71" s="40">
        <f t="shared" si="7"/>
        <v>975.9123162949143</v>
      </c>
      <c r="AY71" s="40">
        <f t="shared" si="8"/>
        <v>-94.81533400219318</v>
      </c>
    </row>
    <row r="72" spans="45:51" ht="13.5">
      <c r="AS72" s="40">
        <v>68</v>
      </c>
      <c r="AT72" s="40">
        <f t="shared" si="9"/>
        <v>4.272566008882119</v>
      </c>
      <c r="AU72" s="40">
        <f t="shared" si="10"/>
        <v>50</v>
      </c>
      <c r="AV72" s="40">
        <f t="shared" si="11"/>
        <v>1000</v>
      </c>
      <c r="AW72" s="40">
        <f t="shared" si="12"/>
        <v>-51</v>
      </c>
      <c r="AX72" s="40">
        <f t="shared" si="7"/>
        <v>978.7110354217464</v>
      </c>
      <c r="AY72" s="40">
        <f t="shared" si="8"/>
        <v>-96.241352623301</v>
      </c>
    </row>
    <row r="73" spans="45:51" ht="13.5">
      <c r="AS73" s="40">
        <v>69</v>
      </c>
      <c r="AT73" s="40">
        <f t="shared" si="9"/>
        <v>4.335397861953915</v>
      </c>
      <c r="AU73" s="40">
        <f t="shared" si="10"/>
        <v>50</v>
      </c>
      <c r="AV73" s="40">
        <f t="shared" si="11"/>
        <v>1000</v>
      </c>
      <c r="AW73" s="40">
        <f t="shared" si="12"/>
        <v>-51</v>
      </c>
      <c r="AX73" s="40">
        <f t="shared" si="7"/>
        <v>981.5937723657661</v>
      </c>
      <c r="AY73" s="40">
        <f t="shared" si="8"/>
        <v>-97.48882429441258</v>
      </c>
    </row>
    <row r="74" spans="45:51" ht="13.5">
      <c r="AS74" s="40">
        <v>70</v>
      </c>
      <c r="AT74" s="40">
        <f t="shared" si="9"/>
        <v>4.39822971502571</v>
      </c>
      <c r="AU74" s="40">
        <f t="shared" si="10"/>
        <v>50</v>
      </c>
      <c r="AV74" s="40">
        <f t="shared" si="11"/>
        <v>1000</v>
      </c>
      <c r="AW74" s="40">
        <f t="shared" si="12"/>
        <v>-51</v>
      </c>
      <c r="AX74" s="40">
        <f t="shared" si="7"/>
        <v>984.5491502812527</v>
      </c>
      <c r="AY74" s="40">
        <f t="shared" si="8"/>
        <v>-98.55282581475768</v>
      </c>
    </row>
    <row r="75" spans="45:51" ht="13.5">
      <c r="AS75" s="40">
        <v>71</v>
      </c>
      <c r="AT75" s="40">
        <f t="shared" si="9"/>
        <v>4.461061568097507</v>
      </c>
      <c r="AU75" s="40">
        <f t="shared" si="10"/>
        <v>50</v>
      </c>
      <c r="AV75" s="40">
        <f t="shared" si="11"/>
        <v>1000</v>
      </c>
      <c r="AW75" s="40">
        <f t="shared" si="12"/>
        <v>-51</v>
      </c>
      <c r="AX75" s="40">
        <f t="shared" si="7"/>
        <v>987.5655056417572</v>
      </c>
      <c r="AY75" s="40">
        <f t="shared" si="8"/>
        <v>-99.42915805643156</v>
      </c>
    </row>
    <row r="76" spans="45:51" ht="13.5">
      <c r="AS76" s="40">
        <v>72</v>
      </c>
      <c r="AT76" s="40">
        <f t="shared" si="9"/>
        <v>4.523893421169302</v>
      </c>
      <c r="AU76" s="40">
        <f t="shared" si="10"/>
        <v>50</v>
      </c>
      <c r="AV76" s="40">
        <f t="shared" si="11"/>
        <v>1000</v>
      </c>
      <c r="AW76" s="40">
        <f t="shared" si="12"/>
        <v>-51</v>
      </c>
      <c r="AX76" s="40">
        <f t="shared" si="7"/>
        <v>990.6309342707137</v>
      </c>
      <c r="AY76" s="40">
        <f t="shared" si="8"/>
        <v>-100.11436253643444</v>
      </c>
    </row>
    <row r="77" spans="45:51" ht="13.5">
      <c r="AS77" s="40">
        <v>73</v>
      </c>
      <c r="AT77" s="40">
        <f t="shared" si="9"/>
        <v>4.586725274241099</v>
      </c>
      <c r="AU77" s="40">
        <f t="shared" si="10"/>
        <v>50</v>
      </c>
      <c r="AV77" s="40">
        <f t="shared" si="11"/>
        <v>1000</v>
      </c>
      <c r="AW77" s="40">
        <f t="shared" si="12"/>
        <v>-51</v>
      </c>
      <c r="AX77" s="40">
        <f t="shared" si="7"/>
        <v>993.7333383217848</v>
      </c>
      <c r="AY77" s="40">
        <f t="shared" si="8"/>
        <v>-100.60573506572389</v>
      </c>
    </row>
    <row r="78" spans="45:51" ht="13.5">
      <c r="AS78" s="40">
        <v>74</v>
      </c>
      <c r="AT78" s="40">
        <f t="shared" si="9"/>
        <v>4.649557127312894</v>
      </c>
      <c r="AU78" s="40">
        <f t="shared" si="10"/>
        <v>50</v>
      </c>
      <c r="AV78" s="40">
        <f t="shared" si="11"/>
        <v>1000</v>
      </c>
      <c r="AW78" s="40">
        <f t="shared" si="12"/>
        <v>-51</v>
      </c>
      <c r="AX78" s="40">
        <f t="shared" si="7"/>
        <v>996.8604740235344</v>
      </c>
      <c r="AY78" s="40">
        <f t="shared" si="8"/>
        <v>-100.90133642141357</v>
      </c>
    </row>
    <row r="79" spans="45:51" ht="13.5">
      <c r="AS79" s="40">
        <v>75</v>
      </c>
      <c r="AT79" s="40">
        <f t="shared" si="9"/>
        <v>4.71238898038469</v>
      </c>
      <c r="AU79" s="40">
        <f t="shared" si="10"/>
        <v>50</v>
      </c>
      <c r="AV79" s="40">
        <f t="shared" si="11"/>
        <v>1000</v>
      </c>
      <c r="AW79" s="40">
        <f t="shared" si="12"/>
        <v>-51</v>
      </c>
      <c r="AX79" s="40">
        <f aca="true" t="shared" si="13" ref="AX79:AX104">AV79+AU79*COS(AT79)</f>
        <v>1000</v>
      </c>
      <c r="AY79" s="40">
        <f aca="true" t="shared" si="14" ref="AY79:AY104">AW79+AU79*SIN(AT79)</f>
        <v>-101</v>
      </c>
    </row>
    <row r="80" spans="45:51" ht="13.5">
      <c r="AS80" s="40">
        <v>76</v>
      </c>
      <c r="AT80" s="40">
        <f t="shared" si="9"/>
        <v>4.775220833456486</v>
      </c>
      <c r="AU80" s="40">
        <f t="shared" si="10"/>
        <v>50</v>
      </c>
      <c r="AV80" s="40">
        <f t="shared" si="11"/>
        <v>1000</v>
      </c>
      <c r="AW80" s="40">
        <f t="shared" si="12"/>
        <v>-51</v>
      </c>
      <c r="AX80" s="40">
        <f t="shared" si="13"/>
        <v>1003.1395259764657</v>
      </c>
      <c r="AY80" s="40">
        <f t="shared" si="14"/>
        <v>-100.90133642141357</v>
      </c>
    </row>
    <row r="81" spans="45:51" ht="13.5">
      <c r="AS81" s="40">
        <v>77</v>
      </c>
      <c r="AT81" s="40">
        <f t="shared" si="9"/>
        <v>4.838052686528282</v>
      </c>
      <c r="AU81" s="40">
        <f t="shared" si="10"/>
        <v>50</v>
      </c>
      <c r="AV81" s="40">
        <f t="shared" si="11"/>
        <v>1000</v>
      </c>
      <c r="AW81" s="40">
        <f t="shared" si="12"/>
        <v>-51</v>
      </c>
      <c r="AX81" s="40">
        <f t="shared" si="13"/>
        <v>1006.2666616782152</v>
      </c>
      <c r="AY81" s="40">
        <f t="shared" si="14"/>
        <v>-100.60573506572389</v>
      </c>
    </row>
    <row r="82" spans="45:51" ht="13.5">
      <c r="AS82" s="40">
        <v>78</v>
      </c>
      <c r="AT82" s="40">
        <f t="shared" si="9"/>
        <v>4.900884539600078</v>
      </c>
      <c r="AU82" s="40">
        <f t="shared" si="10"/>
        <v>50</v>
      </c>
      <c r="AV82" s="40">
        <f t="shared" si="11"/>
        <v>1000</v>
      </c>
      <c r="AW82" s="40">
        <f t="shared" si="12"/>
        <v>-51</v>
      </c>
      <c r="AX82" s="40">
        <f t="shared" si="13"/>
        <v>1009.3690657292863</v>
      </c>
      <c r="AY82" s="40">
        <f t="shared" si="14"/>
        <v>-100.11436253643443</v>
      </c>
    </row>
    <row r="83" spans="45:51" ht="13.5">
      <c r="AS83" s="40">
        <v>79</v>
      </c>
      <c r="AT83" s="40">
        <f t="shared" si="9"/>
        <v>4.9637163926718735</v>
      </c>
      <c r="AU83" s="40">
        <f t="shared" si="10"/>
        <v>50</v>
      </c>
      <c r="AV83" s="40">
        <f t="shared" si="11"/>
        <v>1000</v>
      </c>
      <c r="AW83" s="40">
        <f t="shared" si="12"/>
        <v>-51</v>
      </c>
      <c r="AX83" s="40">
        <f t="shared" si="13"/>
        <v>1012.4344943582428</v>
      </c>
      <c r="AY83" s="40">
        <f t="shared" si="14"/>
        <v>-99.42915805643156</v>
      </c>
    </row>
    <row r="84" spans="45:51" ht="13.5">
      <c r="AS84" s="40">
        <v>80</v>
      </c>
      <c r="AT84" s="40">
        <f t="shared" si="9"/>
        <v>5.026548245743669</v>
      </c>
      <c r="AU84" s="40">
        <f t="shared" si="10"/>
        <v>50</v>
      </c>
      <c r="AV84" s="40">
        <f t="shared" si="11"/>
        <v>1000</v>
      </c>
      <c r="AW84" s="40">
        <f t="shared" si="12"/>
        <v>-51</v>
      </c>
      <c r="AX84" s="40">
        <f t="shared" si="13"/>
        <v>1015.4508497187473</v>
      </c>
      <c r="AY84" s="40">
        <f t="shared" si="14"/>
        <v>-98.55282581475768</v>
      </c>
    </row>
    <row r="85" spans="45:51" ht="13.5">
      <c r="AS85" s="40">
        <v>81</v>
      </c>
      <c r="AT85" s="40">
        <f t="shared" si="9"/>
        <v>5.089380098815465</v>
      </c>
      <c r="AU85" s="40">
        <f t="shared" si="10"/>
        <v>50</v>
      </c>
      <c r="AV85" s="40">
        <f t="shared" si="11"/>
        <v>1000</v>
      </c>
      <c r="AW85" s="40">
        <f t="shared" si="12"/>
        <v>-51</v>
      </c>
      <c r="AX85" s="40">
        <f t="shared" si="13"/>
        <v>1018.4062276342339</v>
      </c>
      <c r="AY85" s="40">
        <f t="shared" si="14"/>
        <v>-97.48882429441255</v>
      </c>
    </row>
    <row r="86" spans="45:51" ht="13.5">
      <c r="AS86" s="40">
        <v>82</v>
      </c>
      <c r="AT86" s="40">
        <f t="shared" si="9"/>
        <v>5.152211951887261</v>
      </c>
      <c r="AU86" s="40">
        <f t="shared" si="10"/>
        <v>50</v>
      </c>
      <c r="AV86" s="40">
        <f t="shared" si="11"/>
        <v>1000</v>
      </c>
      <c r="AW86" s="40">
        <f t="shared" si="12"/>
        <v>-51</v>
      </c>
      <c r="AX86" s="40">
        <f t="shared" si="13"/>
        <v>1021.2889645782536</v>
      </c>
      <c r="AY86" s="40">
        <f t="shared" si="14"/>
        <v>-96.24135262330097</v>
      </c>
    </row>
    <row r="87" spans="45:51" ht="13.5">
      <c r="AS87" s="40">
        <v>83</v>
      </c>
      <c r="AT87" s="40">
        <f t="shared" si="9"/>
        <v>5.215043804959057</v>
      </c>
      <c r="AU87" s="40">
        <f t="shared" si="10"/>
        <v>50</v>
      </c>
      <c r="AV87" s="40">
        <f t="shared" si="11"/>
        <v>1000</v>
      </c>
      <c r="AW87" s="40">
        <f t="shared" si="12"/>
        <v>-51</v>
      </c>
      <c r="AX87" s="40">
        <f t="shared" si="13"/>
        <v>1024.0876837050857</v>
      </c>
      <c r="AY87" s="40">
        <f t="shared" si="14"/>
        <v>-94.81533400219317</v>
      </c>
    </row>
    <row r="88" spans="45:51" ht="13.5">
      <c r="AS88" s="40">
        <v>84</v>
      </c>
      <c r="AT88" s="40">
        <f t="shared" si="9"/>
        <v>5.277875658030853</v>
      </c>
      <c r="AU88" s="40">
        <f t="shared" si="10"/>
        <v>50</v>
      </c>
      <c r="AV88" s="40">
        <f t="shared" si="11"/>
        <v>1000</v>
      </c>
      <c r="AW88" s="40">
        <f t="shared" si="12"/>
        <v>-51</v>
      </c>
      <c r="AX88" s="40">
        <f t="shared" si="13"/>
        <v>1026.79133974895</v>
      </c>
      <c r="AY88" s="40">
        <f t="shared" si="14"/>
        <v>-93.21639627510075</v>
      </c>
    </row>
    <row r="89" spans="45:51" ht="13.5">
      <c r="AS89" s="40">
        <v>85</v>
      </c>
      <c r="AT89" s="40">
        <f t="shared" si="9"/>
        <v>5.340707511102649</v>
      </c>
      <c r="AU89" s="40">
        <f t="shared" si="10"/>
        <v>50</v>
      </c>
      <c r="AV89" s="40">
        <f t="shared" si="11"/>
        <v>1000</v>
      </c>
      <c r="AW89" s="40">
        <f t="shared" si="12"/>
        <v>-51</v>
      </c>
      <c r="AX89" s="40">
        <f t="shared" si="13"/>
        <v>1029.3892626146237</v>
      </c>
      <c r="AY89" s="40">
        <f t="shared" si="14"/>
        <v>-91.45084971874735</v>
      </c>
    </row>
    <row r="90" spans="45:51" ht="13.5">
      <c r="AS90" s="40">
        <v>86</v>
      </c>
      <c r="AT90" s="40">
        <f t="shared" si="9"/>
        <v>5.403539364174445</v>
      </c>
      <c r="AU90" s="40">
        <f t="shared" si="10"/>
        <v>50</v>
      </c>
      <c r="AV90" s="40">
        <f t="shared" si="11"/>
        <v>1000</v>
      </c>
      <c r="AW90" s="40">
        <f t="shared" si="12"/>
        <v>-51</v>
      </c>
      <c r="AX90" s="40">
        <f t="shared" si="13"/>
        <v>1031.8711994874345</v>
      </c>
      <c r="AY90" s="40">
        <f t="shared" si="14"/>
        <v>-89.52566213878944</v>
      </c>
    </row>
    <row r="91" spans="45:51" ht="13.5">
      <c r="AS91" s="40">
        <v>87</v>
      </c>
      <c r="AT91" s="40">
        <f t="shared" si="9"/>
        <v>5.46637121724624</v>
      </c>
      <c r="AU91" s="40">
        <f t="shared" si="10"/>
        <v>50</v>
      </c>
      <c r="AV91" s="40">
        <f t="shared" si="11"/>
        <v>1000</v>
      </c>
      <c r="AW91" s="40">
        <f t="shared" si="12"/>
        <v>-51</v>
      </c>
      <c r="AX91" s="40">
        <f t="shared" si="13"/>
        <v>1034.2273552964343</v>
      </c>
      <c r="AY91" s="40">
        <f t="shared" si="14"/>
        <v>-87.44843137107057</v>
      </c>
    </row>
    <row r="92" spans="45:51" ht="13.5">
      <c r="AS92" s="40">
        <v>88</v>
      </c>
      <c r="AT92" s="40">
        <f t="shared" si="9"/>
        <v>5.529203070318037</v>
      </c>
      <c r="AU92" s="40">
        <f t="shared" si="10"/>
        <v>50</v>
      </c>
      <c r="AV92" s="40">
        <f t="shared" si="11"/>
        <v>1000</v>
      </c>
      <c r="AW92" s="40">
        <f t="shared" si="12"/>
        <v>-51</v>
      </c>
      <c r="AX92" s="40">
        <f t="shared" si="13"/>
        <v>1036.4484313710707</v>
      </c>
      <c r="AY92" s="40">
        <f t="shared" si="14"/>
        <v>-85.22735529643441</v>
      </c>
    </row>
    <row r="93" spans="45:51" ht="13.5">
      <c r="AS93" s="40">
        <v>89</v>
      </c>
      <c r="AT93" s="40">
        <f t="shared" si="9"/>
        <v>5.592034923389832</v>
      </c>
      <c r="AU93" s="40">
        <f t="shared" si="10"/>
        <v>50</v>
      </c>
      <c r="AV93" s="40">
        <f t="shared" si="11"/>
        <v>1000</v>
      </c>
      <c r="AW93" s="40">
        <f t="shared" si="12"/>
        <v>-51</v>
      </c>
      <c r="AX93" s="40">
        <f t="shared" si="13"/>
        <v>1038.5256621387894</v>
      </c>
      <c r="AY93" s="40">
        <f t="shared" si="14"/>
        <v>-82.87119948743448</v>
      </c>
    </row>
    <row r="94" spans="45:51" ht="13.5">
      <c r="AS94" s="40">
        <v>90</v>
      </c>
      <c r="AT94" s="40">
        <f t="shared" si="9"/>
        <v>5.6548667764616285</v>
      </c>
      <c r="AU94" s="40">
        <f t="shared" si="10"/>
        <v>50</v>
      </c>
      <c r="AV94" s="40">
        <f t="shared" si="11"/>
        <v>1000</v>
      </c>
      <c r="AW94" s="40">
        <f t="shared" si="12"/>
        <v>-51</v>
      </c>
      <c r="AX94" s="40">
        <f t="shared" si="13"/>
        <v>1040.4508497187473</v>
      </c>
      <c r="AY94" s="40">
        <f t="shared" si="14"/>
        <v>-80.38926261462363</v>
      </c>
    </row>
    <row r="95" spans="45:51" ht="13.5">
      <c r="AS95" s="40">
        <v>91</v>
      </c>
      <c r="AT95" s="40">
        <f t="shared" si="9"/>
        <v>5.717698629533424</v>
      </c>
      <c r="AU95" s="40">
        <f t="shared" si="10"/>
        <v>50</v>
      </c>
      <c r="AV95" s="40">
        <f t="shared" si="11"/>
        <v>1000</v>
      </c>
      <c r="AW95" s="40">
        <f t="shared" si="12"/>
        <v>-51</v>
      </c>
      <c r="AX95" s="40">
        <f t="shared" si="13"/>
        <v>1042.2163962751008</v>
      </c>
      <c r="AY95" s="40">
        <f t="shared" si="14"/>
        <v>-77.79133974894981</v>
      </c>
    </row>
    <row r="96" spans="45:51" ht="13.5">
      <c r="AS96" s="40">
        <v>92</v>
      </c>
      <c r="AT96" s="40">
        <f t="shared" si="9"/>
        <v>5.7805304826052195</v>
      </c>
      <c r="AU96" s="40">
        <f t="shared" si="10"/>
        <v>50</v>
      </c>
      <c r="AV96" s="40">
        <f t="shared" si="11"/>
        <v>1000</v>
      </c>
      <c r="AW96" s="40">
        <f t="shared" si="12"/>
        <v>-51</v>
      </c>
      <c r="AX96" s="40">
        <f t="shared" si="13"/>
        <v>1043.8153340021931</v>
      </c>
      <c r="AY96" s="40">
        <f t="shared" si="14"/>
        <v>-75.08768370508577</v>
      </c>
    </row>
    <row r="97" spans="45:51" ht="13.5">
      <c r="AS97" s="40">
        <v>93</v>
      </c>
      <c r="AT97" s="40">
        <f t="shared" si="9"/>
        <v>5.843362335677016</v>
      </c>
      <c r="AU97" s="40">
        <f t="shared" si="10"/>
        <v>50</v>
      </c>
      <c r="AV97" s="40">
        <f t="shared" si="11"/>
        <v>1000</v>
      </c>
      <c r="AW97" s="40">
        <f t="shared" si="12"/>
        <v>-51</v>
      </c>
      <c r="AX97" s="40">
        <f t="shared" si="13"/>
        <v>1045.241352623301</v>
      </c>
      <c r="AY97" s="40">
        <f t="shared" si="14"/>
        <v>-72.28896457825361</v>
      </c>
    </row>
    <row r="98" spans="45:51" ht="13.5">
      <c r="AS98" s="40">
        <v>94</v>
      </c>
      <c r="AT98" s="40">
        <f t="shared" si="9"/>
        <v>5.906194188748811</v>
      </c>
      <c r="AU98" s="40">
        <f t="shared" si="10"/>
        <v>50</v>
      </c>
      <c r="AV98" s="40">
        <f t="shared" si="11"/>
        <v>1000</v>
      </c>
      <c r="AW98" s="40">
        <f t="shared" si="12"/>
        <v>-51</v>
      </c>
      <c r="AX98" s="40">
        <f t="shared" si="13"/>
        <v>1046.4888242944126</v>
      </c>
      <c r="AY98" s="40">
        <f t="shared" si="14"/>
        <v>-69.40622763423389</v>
      </c>
    </row>
    <row r="99" spans="45:51" ht="13.5">
      <c r="AS99" s="40">
        <v>95</v>
      </c>
      <c r="AT99" s="40">
        <f t="shared" si="9"/>
        <v>5.969026041820608</v>
      </c>
      <c r="AU99" s="40">
        <f t="shared" si="10"/>
        <v>50</v>
      </c>
      <c r="AV99" s="40">
        <f t="shared" si="11"/>
        <v>1000</v>
      </c>
      <c r="AW99" s="40">
        <f t="shared" si="12"/>
        <v>-51</v>
      </c>
      <c r="AX99" s="40">
        <f t="shared" si="13"/>
        <v>1047.5528258147576</v>
      </c>
      <c r="AY99" s="40">
        <f t="shared" si="14"/>
        <v>-66.45084971874734</v>
      </c>
    </row>
    <row r="100" spans="45:51" ht="13.5">
      <c r="AS100" s="40">
        <v>96</v>
      </c>
      <c r="AT100" s="40">
        <f t="shared" si="9"/>
        <v>6.031857894892403</v>
      </c>
      <c r="AU100" s="40">
        <f t="shared" si="10"/>
        <v>50</v>
      </c>
      <c r="AV100" s="40">
        <f t="shared" si="11"/>
        <v>1000</v>
      </c>
      <c r="AW100" s="40">
        <f t="shared" si="12"/>
        <v>-51</v>
      </c>
      <c r="AX100" s="40">
        <f t="shared" si="13"/>
        <v>1048.4291580564316</v>
      </c>
      <c r="AY100" s="40">
        <f t="shared" si="14"/>
        <v>-63.43449435824272</v>
      </c>
    </row>
    <row r="101" spans="45:51" ht="13.5">
      <c r="AS101" s="40">
        <v>97</v>
      </c>
      <c r="AT101" s="40">
        <f t="shared" si="9"/>
        <v>6.094689747964199</v>
      </c>
      <c r="AU101" s="40">
        <f t="shared" si="10"/>
        <v>50</v>
      </c>
      <c r="AV101" s="40">
        <f t="shared" si="11"/>
        <v>1000</v>
      </c>
      <c r="AW101" s="40">
        <f t="shared" si="12"/>
        <v>-51</v>
      </c>
      <c r="AX101" s="40">
        <f t="shared" si="13"/>
        <v>1049.1143625364343</v>
      </c>
      <c r="AY101" s="40">
        <f t="shared" si="14"/>
        <v>-60.369065729286234</v>
      </c>
    </row>
    <row r="102" spans="45:51" ht="13.5">
      <c r="AS102" s="40">
        <v>98</v>
      </c>
      <c r="AT102" s="40">
        <f t="shared" si="9"/>
        <v>6.157521601035995</v>
      </c>
      <c r="AU102" s="40">
        <f t="shared" si="10"/>
        <v>50</v>
      </c>
      <c r="AV102" s="40">
        <f t="shared" si="11"/>
        <v>1000</v>
      </c>
      <c r="AW102" s="40">
        <f t="shared" si="12"/>
        <v>-51</v>
      </c>
      <c r="AX102" s="40">
        <f t="shared" si="13"/>
        <v>1049.6057350657238</v>
      </c>
      <c r="AY102" s="40">
        <f t="shared" si="14"/>
        <v>-57.266661678215186</v>
      </c>
    </row>
    <row r="103" spans="45:51" ht="13.5">
      <c r="AS103" s="40">
        <v>99</v>
      </c>
      <c r="AT103" s="40">
        <f t="shared" si="9"/>
        <v>6.220353454107791</v>
      </c>
      <c r="AU103" s="40">
        <f t="shared" si="10"/>
        <v>50</v>
      </c>
      <c r="AV103" s="40">
        <f t="shared" si="11"/>
        <v>1000</v>
      </c>
      <c r="AW103" s="40">
        <f t="shared" si="12"/>
        <v>-51</v>
      </c>
      <c r="AX103" s="40">
        <f t="shared" si="13"/>
        <v>1049.9013364214136</v>
      </c>
      <c r="AY103" s="40">
        <f t="shared" si="14"/>
        <v>-54.13952597646566</v>
      </c>
    </row>
    <row r="104" spans="45:51" ht="13.5">
      <c r="AS104" s="40">
        <v>100</v>
      </c>
      <c r="AT104" s="40">
        <f t="shared" si="9"/>
        <v>6.283185307179587</v>
      </c>
      <c r="AU104" s="40">
        <f t="shared" si="10"/>
        <v>50</v>
      </c>
      <c r="AV104" s="40">
        <f t="shared" si="11"/>
        <v>1000</v>
      </c>
      <c r="AW104" s="40">
        <f t="shared" si="12"/>
        <v>-51</v>
      </c>
      <c r="AX104" s="40">
        <f t="shared" si="13"/>
        <v>1050</v>
      </c>
      <c r="AY104" s="40">
        <f t="shared" si="14"/>
        <v>-50.999999999999964</v>
      </c>
    </row>
    <row r="133" ht="13.5">
      <c r="AS133">
        <v>2.58</v>
      </c>
    </row>
    <row r="134" ht="13.5">
      <c r="AS134">
        <v>2.6</v>
      </c>
    </row>
    <row r="135" ht="13.5">
      <c r="AS135">
        <v>2.62</v>
      </c>
    </row>
    <row r="136" ht="13.5">
      <c r="AS136">
        <v>2.64</v>
      </c>
    </row>
    <row r="137" ht="13.5">
      <c r="AS137">
        <v>2.66</v>
      </c>
    </row>
    <row r="138" ht="13.5">
      <c r="AS138">
        <v>2.68</v>
      </c>
    </row>
    <row r="139" ht="13.5">
      <c r="AS139">
        <v>2.7</v>
      </c>
    </row>
    <row r="140" ht="13.5">
      <c r="AS140">
        <v>2.72</v>
      </c>
    </row>
    <row r="141" ht="13.5">
      <c r="AS141">
        <v>2.74</v>
      </c>
    </row>
    <row r="142" ht="13.5">
      <c r="AS142">
        <v>2.76</v>
      </c>
    </row>
    <row r="143" ht="13.5">
      <c r="AS143">
        <v>2.78</v>
      </c>
    </row>
    <row r="144" ht="13.5">
      <c r="AS144">
        <v>2.8</v>
      </c>
    </row>
    <row r="145" ht="13.5">
      <c r="AS145">
        <v>2.82</v>
      </c>
    </row>
    <row r="146" ht="13.5">
      <c r="AS146">
        <v>2.84</v>
      </c>
    </row>
    <row r="147" ht="13.5">
      <c r="AS147">
        <v>2.86</v>
      </c>
    </row>
    <row r="148" ht="13.5">
      <c r="AS148">
        <v>2.88</v>
      </c>
    </row>
    <row r="149" ht="13.5">
      <c r="AS149">
        <v>2.9</v>
      </c>
    </row>
    <row r="150" ht="13.5">
      <c r="AS150">
        <v>2.92</v>
      </c>
    </row>
    <row r="151" ht="13.5">
      <c r="AS151">
        <v>2.94</v>
      </c>
    </row>
    <row r="152" ht="13.5">
      <c r="AS152">
        <v>2.96</v>
      </c>
    </row>
    <row r="153" ht="13.5">
      <c r="AS153">
        <v>2.98</v>
      </c>
    </row>
    <row r="154" ht="13.5">
      <c r="AS154">
        <v>3</v>
      </c>
    </row>
    <row r="155" ht="13.5">
      <c r="AS155">
        <v>3.02</v>
      </c>
    </row>
    <row r="156" ht="13.5">
      <c r="AS156">
        <v>3.04</v>
      </c>
    </row>
    <row r="157" ht="13.5">
      <c r="AS157">
        <v>3.06</v>
      </c>
    </row>
    <row r="158" ht="13.5">
      <c r="AS158">
        <v>3.08</v>
      </c>
    </row>
    <row r="159" ht="13.5">
      <c r="AS159">
        <v>3.1</v>
      </c>
    </row>
    <row r="160" ht="13.5">
      <c r="AS160">
        <v>3.12</v>
      </c>
    </row>
    <row r="161" ht="13.5">
      <c r="AS161">
        <v>3.14</v>
      </c>
    </row>
  </sheetData>
  <sheetProtection/>
  <mergeCells count="29">
    <mergeCell ref="P28:P29"/>
    <mergeCell ref="Q28:Q29"/>
    <mergeCell ref="O23:O24"/>
    <mergeCell ref="P23:Q24"/>
    <mergeCell ref="O13:P14"/>
    <mergeCell ref="O18:R19"/>
    <mergeCell ref="P1:Q1"/>
    <mergeCell ref="J1:K1"/>
    <mergeCell ref="AB1:AC1"/>
    <mergeCell ref="Z1:AA1"/>
    <mergeCell ref="X1:Y1"/>
    <mergeCell ref="V1:W1"/>
    <mergeCell ref="T1:U1"/>
    <mergeCell ref="B1:C1"/>
    <mergeCell ref="D1:E1"/>
    <mergeCell ref="F1:G1"/>
    <mergeCell ref="H1:I1"/>
    <mergeCell ref="BA1:BB2"/>
    <mergeCell ref="AL1:AM1"/>
    <mergeCell ref="AN1:AO1"/>
    <mergeCell ref="AP1:AQ1"/>
    <mergeCell ref="AS1:AY1"/>
    <mergeCell ref="AD1:AE1"/>
    <mergeCell ref="AF1:AG1"/>
    <mergeCell ref="AH1:AI1"/>
    <mergeCell ref="AJ1:AK1"/>
    <mergeCell ref="R1:S1"/>
    <mergeCell ref="N1:O1"/>
    <mergeCell ref="L1:M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I45"/>
  <sheetViews>
    <sheetView zoomScalePageLayoutView="0" workbookViewId="0" topLeftCell="T1">
      <selection activeCell="AA4" sqref="AA4"/>
    </sheetView>
  </sheetViews>
  <sheetFormatPr defaultColWidth="9.00390625" defaultRowHeight="13.5"/>
  <cols>
    <col min="1" max="2" width="9.00390625" style="7" customWidth="1"/>
    <col min="3" max="3" width="9.75390625" style="0" bestFit="1" customWidth="1"/>
    <col min="12" max="12" width="9.125" style="7" customWidth="1"/>
    <col min="13" max="13" width="10.50390625" style="7" customWidth="1"/>
    <col min="14" max="15" width="9.125" style="7" customWidth="1"/>
    <col min="17" max="17" width="9.50390625" style="0" bestFit="1" customWidth="1"/>
    <col min="23" max="23" width="9.00390625" style="7" customWidth="1"/>
    <col min="48" max="48" width="12.00390625" style="0" customWidth="1"/>
    <col min="51" max="51" width="9.00390625" style="12" customWidth="1"/>
    <col min="53" max="53" width="9.00390625" style="12" customWidth="1"/>
    <col min="55" max="59" width="9.00390625" style="12" customWidth="1"/>
    <col min="60" max="61" width="9.50390625" style="7" bestFit="1" customWidth="1"/>
    <col min="62" max="76" width="7.25390625" style="42" customWidth="1"/>
    <col min="79" max="80" width="8.375" style="52" customWidth="1"/>
    <col min="81" max="81" width="9.375" style="44" customWidth="1"/>
  </cols>
  <sheetData>
    <row r="1" spans="2:87" ht="22.5" customHeight="1">
      <c r="B1" s="154" t="s">
        <v>0</v>
      </c>
      <c r="C1" s="151"/>
      <c r="D1" s="133" t="s">
        <v>1</v>
      </c>
      <c r="E1" s="134"/>
      <c r="F1" s="133" t="s">
        <v>123</v>
      </c>
      <c r="G1" s="134"/>
      <c r="H1" s="133" t="s">
        <v>109</v>
      </c>
      <c r="I1" s="154" t="s">
        <v>115</v>
      </c>
      <c r="J1" s="154" t="s">
        <v>118</v>
      </c>
      <c r="K1" s="154"/>
      <c r="L1" s="160" t="s">
        <v>121</v>
      </c>
      <c r="M1" s="160" t="s">
        <v>122</v>
      </c>
      <c r="N1" s="133" t="s">
        <v>126</v>
      </c>
      <c r="O1" s="134"/>
      <c r="P1" s="133" t="s">
        <v>111</v>
      </c>
      <c r="Q1" s="134"/>
      <c r="R1" s="154" t="s">
        <v>2</v>
      </c>
      <c r="S1" s="154"/>
      <c r="T1" s="154" t="s">
        <v>3</v>
      </c>
      <c r="U1" s="154" t="s">
        <v>12</v>
      </c>
      <c r="X1" s="154" t="s">
        <v>15</v>
      </c>
      <c r="Y1" s="14"/>
      <c r="Z1" s="154" t="s">
        <v>16</v>
      </c>
      <c r="AA1" s="154"/>
      <c r="AB1" s="154" t="s">
        <v>17</v>
      </c>
      <c r="AC1" s="154"/>
      <c r="AD1" s="154"/>
      <c r="AE1" s="151"/>
      <c r="AF1" s="167" t="s">
        <v>29</v>
      </c>
      <c r="AG1" s="131" t="s">
        <v>30</v>
      </c>
      <c r="AH1" s="168" t="s">
        <v>25</v>
      </c>
      <c r="AI1" s="168" t="s">
        <v>34</v>
      </c>
      <c r="AJ1" s="128" t="s">
        <v>28</v>
      </c>
      <c r="AK1" s="143" t="s">
        <v>33</v>
      </c>
      <c r="AL1" s="144"/>
      <c r="AM1" s="163" t="s">
        <v>35</v>
      </c>
      <c r="AN1" s="164"/>
      <c r="AO1" s="143" t="s">
        <v>36</v>
      </c>
      <c r="AP1" s="144"/>
      <c r="AQ1" s="143" t="s">
        <v>37</v>
      </c>
      <c r="AR1" s="144"/>
      <c r="AS1" s="143" t="s">
        <v>38</v>
      </c>
      <c r="AT1" s="144"/>
      <c r="AU1" s="143" t="s">
        <v>39</v>
      </c>
      <c r="AV1" s="144"/>
      <c r="AW1" s="154" t="s">
        <v>15</v>
      </c>
      <c r="AX1" s="155" t="s">
        <v>40</v>
      </c>
      <c r="AY1" s="156"/>
      <c r="AZ1" s="157"/>
      <c r="BA1" s="119"/>
      <c r="BB1" s="155" t="s">
        <v>42</v>
      </c>
      <c r="BC1" s="156"/>
      <c r="BD1" s="157"/>
      <c r="BE1" s="119"/>
      <c r="BF1" s="123" t="s">
        <v>43</v>
      </c>
      <c r="BG1" s="147" t="s">
        <v>44</v>
      </c>
      <c r="BH1" s="150" t="s">
        <v>52</v>
      </c>
      <c r="BI1" s="151"/>
      <c r="BJ1" s="152" t="s">
        <v>76</v>
      </c>
      <c r="BK1" s="153"/>
      <c r="BL1" s="153"/>
      <c r="BM1" s="153"/>
      <c r="BN1" s="153"/>
      <c r="BO1" s="153"/>
      <c r="BP1" s="123" t="s">
        <v>75</v>
      </c>
      <c r="BQ1" s="124"/>
      <c r="BR1" s="139"/>
      <c r="BS1" s="137" t="s">
        <v>83</v>
      </c>
      <c r="BT1" s="138"/>
      <c r="BU1" s="138"/>
      <c r="BV1" s="138"/>
      <c r="BW1" s="138"/>
      <c r="BX1" s="138"/>
      <c r="BY1" s="138"/>
      <c r="BZ1" s="139"/>
      <c r="CA1" s="137" t="s">
        <v>84</v>
      </c>
      <c r="CB1" s="138"/>
      <c r="CC1" s="138"/>
      <c r="CD1" s="138"/>
      <c r="CE1" s="138"/>
      <c r="CF1" s="138"/>
      <c r="CG1" s="124"/>
      <c r="CH1" s="124"/>
      <c r="CI1" s="139"/>
    </row>
    <row r="2" spans="2:87" ht="22.5" customHeight="1">
      <c r="B2" s="151"/>
      <c r="C2" s="151"/>
      <c r="D2" s="135"/>
      <c r="E2" s="136"/>
      <c r="F2" s="135"/>
      <c r="G2" s="136"/>
      <c r="H2" s="135"/>
      <c r="I2" s="154"/>
      <c r="J2" s="154"/>
      <c r="K2" s="154"/>
      <c r="L2" s="160"/>
      <c r="M2" s="160"/>
      <c r="N2" s="135"/>
      <c r="O2" s="136"/>
      <c r="P2" s="135"/>
      <c r="Q2" s="136"/>
      <c r="R2" s="154"/>
      <c r="S2" s="154"/>
      <c r="T2" s="154"/>
      <c r="U2" s="154"/>
      <c r="X2" s="154"/>
      <c r="Y2" s="14"/>
      <c r="Z2" s="154"/>
      <c r="AA2" s="154"/>
      <c r="AB2" s="154"/>
      <c r="AC2" s="154"/>
      <c r="AD2" s="154"/>
      <c r="AE2" s="151"/>
      <c r="AF2" s="167"/>
      <c r="AG2" s="132"/>
      <c r="AH2" s="168"/>
      <c r="AI2" s="168"/>
      <c r="AJ2" s="129"/>
      <c r="AK2" s="145"/>
      <c r="AL2" s="146"/>
      <c r="AM2" s="165"/>
      <c r="AN2" s="166"/>
      <c r="AO2" s="145"/>
      <c r="AP2" s="146"/>
      <c r="AQ2" s="145"/>
      <c r="AR2" s="146"/>
      <c r="AS2" s="145"/>
      <c r="AT2" s="146"/>
      <c r="AU2" s="145"/>
      <c r="AV2" s="146"/>
      <c r="AW2" s="154"/>
      <c r="AX2" s="145"/>
      <c r="AY2" s="158"/>
      <c r="AZ2" s="159"/>
      <c r="BA2" s="121"/>
      <c r="BB2" s="145"/>
      <c r="BC2" s="158"/>
      <c r="BD2" s="159"/>
      <c r="BE2" s="121"/>
      <c r="BF2" s="161"/>
      <c r="BG2" s="148"/>
      <c r="BH2" s="151"/>
      <c r="BI2" s="151"/>
      <c r="BJ2" s="153"/>
      <c r="BK2" s="153"/>
      <c r="BL2" s="153"/>
      <c r="BM2" s="153"/>
      <c r="BN2" s="153"/>
      <c r="BO2" s="153"/>
      <c r="BP2" s="125"/>
      <c r="BQ2" s="126"/>
      <c r="BR2" s="142"/>
      <c r="BS2" s="140"/>
      <c r="BT2" s="141"/>
      <c r="BU2" s="141"/>
      <c r="BV2" s="141"/>
      <c r="BW2" s="141"/>
      <c r="BX2" s="141"/>
      <c r="BY2" s="141"/>
      <c r="BZ2" s="142"/>
      <c r="CA2" s="140"/>
      <c r="CB2" s="141"/>
      <c r="CC2" s="141"/>
      <c r="CD2" s="141"/>
      <c r="CE2" s="141"/>
      <c r="CF2" s="141"/>
      <c r="CG2" s="126"/>
      <c r="CH2" s="126"/>
      <c r="CI2" s="142"/>
    </row>
    <row r="3" spans="1:87" s="5" customFormat="1" ht="24">
      <c r="A3" s="8" t="s">
        <v>13</v>
      </c>
      <c r="B3" s="50" t="s">
        <v>69</v>
      </c>
      <c r="C3" s="50" t="s">
        <v>70</v>
      </c>
      <c r="D3" s="50" t="s">
        <v>73</v>
      </c>
      <c r="E3" s="50" t="s">
        <v>74</v>
      </c>
      <c r="F3" s="50" t="s">
        <v>124</v>
      </c>
      <c r="G3" s="50" t="s">
        <v>125</v>
      </c>
      <c r="H3" s="50" t="s">
        <v>110</v>
      </c>
      <c r="I3" s="3" t="s">
        <v>114</v>
      </c>
      <c r="J3" s="3" t="s">
        <v>116</v>
      </c>
      <c r="K3" s="3" t="s">
        <v>117</v>
      </c>
      <c r="L3" s="73" t="s">
        <v>119</v>
      </c>
      <c r="M3" s="73" t="s">
        <v>120</v>
      </c>
      <c r="N3" s="50" t="s">
        <v>94</v>
      </c>
      <c r="O3" s="50" t="s">
        <v>93</v>
      </c>
      <c r="P3" s="50" t="s">
        <v>94</v>
      </c>
      <c r="Q3" s="50" t="s">
        <v>93</v>
      </c>
      <c r="R3" s="50" t="s">
        <v>71</v>
      </c>
      <c r="S3" s="50" t="s">
        <v>72</v>
      </c>
      <c r="T3" s="3" t="s">
        <v>10</v>
      </c>
      <c r="U3" s="3" t="s">
        <v>11</v>
      </c>
      <c r="V3" s="3" t="s">
        <v>24</v>
      </c>
      <c r="W3" s="8" t="s">
        <v>14</v>
      </c>
      <c r="X3" s="3" t="s">
        <v>23</v>
      </c>
      <c r="Y3" s="3" t="s">
        <v>14</v>
      </c>
      <c r="Z3" s="50" t="s">
        <v>113</v>
      </c>
      <c r="AA3" s="50" t="s">
        <v>112</v>
      </c>
      <c r="AB3" s="50" t="s">
        <v>69</v>
      </c>
      <c r="AC3" s="50" t="s">
        <v>70</v>
      </c>
      <c r="AD3" s="48" t="s">
        <v>18</v>
      </c>
      <c r="AE3" s="3" t="s">
        <v>19</v>
      </c>
      <c r="AF3" s="3" t="s">
        <v>20</v>
      </c>
      <c r="AG3" s="130"/>
      <c r="AH3" s="3" t="s">
        <v>21</v>
      </c>
      <c r="AI3" s="3" t="s">
        <v>22</v>
      </c>
      <c r="AJ3" s="130"/>
      <c r="AK3" s="15" t="s">
        <v>26</v>
      </c>
      <c r="AL3" s="15" t="s">
        <v>27</v>
      </c>
      <c r="AM3" s="15" t="s">
        <v>26</v>
      </c>
      <c r="AN3" s="19" t="s">
        <v>27</v>
      </c>
      <c r="AO3" s="15" t="s">
        <v>31</v>
      </c>
      <c r="AP3" s="15" t="s">
        <v>32</v>
      </c>
      <c r="AQ3" s="15" t="s">
        <v>31</v>
      </c>
      <c r="AR3" s="15" t="s">
        <v>32</v>
      </c>
      <c r="AS3" s="15" t="s">
        <v>31</v>
      </c>
      <c r="AT3" s="15" t="s">
        <v>32</v>
      </c>
      <c r="AU3" s="15" t="s">
        <v>31</v>
      </c>
      <c r="AV3" s="15" t="s">
        <v>32</v>
      </c>
      <c r="AW3" s="3" t="s">
        <v>23</v>
      </c>
      <c r="AX3" s="15" t="s">
        <v>41</v>
      </c>
      <c r="AY3" s="15" t="s">
        <v>26</v>
      </c>
      <c r="AZ3" s="20" t="s">
        <v>32</v>
      </c>
      <c r="BA3" s="15" t="s">
        <v>26</v>
      </c>
      <c r="BB3" s="15" t="s">
        <v>41</v>
      </c>
      <c r="BC3" s="15" t="s">
        <v>26</v>
      </c>
      <c r="BD3" s="20" t="s">
        <v>32</v>
      </c>
      <c r="BE3" s="15" t="s">
        <v>26</v>
      </c>
      <c r="BF3" s="162"/>
      <c r="BG3" s="149"/>
      <c r="BH3" s="50" t="s">
        <v>67</v>
      </c>
      <c r="BI3" s="50" t="s">
        <v>68</v>
      </c>
      <c r="BJ3" s="15" t="s">
        <v>53</v>
      </c>
      <c r="BK3" s="15" t="s">
        <v>54</v>
      </c>
      <c r="BL3" s="15" t="s">
        <v>55</v>
      </c>
      <c r="BM3" s="15" t="s">
        <v>56</v>
      </c>
      <c r="BN3" s="15" t="s">
        <v>57</v>
      </c>
      <c r="BO3" s="19" t="s">
        <v>58</v>
      </c>
      <c r="BP3" s="15" t="s">
        <v>61</v>
      </c>
      <c r="BQ3" s="15" t="s">
        <v>62</v>
      </c>
      <c r="BR3" s="15" t="s">
        <v>63</v>
      </c>
      <c r="BS3" s="15" t="s">
        <v>64</v>
      </c>
      <c r="BT3" s="47" t="s">
        <v>65</v>
      </c>
      <c r="BU3" s="47" t="s">
        <v>87</v>
      </c>
      <c r="BV3" s="47" t="s">
        <v>59</v>
      </c>
      <c r="BW3" s="47" t="s">
        <v>60</v>
      </c>
      <c r="BX3" s="15" t="s">
        <v>66</v>
      </c>
      <c r="BY3" s="51" t="s">
        <v>77</v>
      </c>
      <c r="BZ3" s="51" t="s">
        <v>78</v>
      </c>
      <c r="CA3" s="53" t="s">
        <v>79</v>
      </c>
      <c r="CB3" s="53" t="s">
        <v>80</v>
      </c>
      <c r="CC3" s="56" t="s">
        <v>81</v>
      </c>
      <c r="CD3" s="56" t="s">
        <v>82</v>
      </c>
      <c r="CE3" s="53" t="s">
        <v>90</v>
      </c>
      <c r="CF3" s="15" t="s">
        <v>88</v>
      </c>
      <c r="CG3" s="15" t="s">
        <v>89</v>
      </c>
      <c r="CH3" s="51" t="s">
        <v>85</v>
      </c>
      <c r="CI3" s="51" t="s">
        <v>86</v>
      </c>
    </row>
    <row r="4" spans="1:87" ht="13.5">
      <c r="A4" s="9">
        <v>-0.8</v>
      </c>
      <c r="B4" s="78">
        <f>Fig!O16</f>
        <v>-50</v>
      </c>
      <c r="C4" s="78">
        <f>Fig!P16</f>
        <v>-86</v>
      </c>
      <c r="D4" s="60">
        <f>(E4-C4)*TAN(A4)+B4</f>
        <v>-447.44048302144057</v>
      </c>
      <c r="E4" s="82">
        <f>H4+200</f>
        <v>300</v>
      </c>
      <c r="F4" s="60">
        <f>(G4-C4)*TAN(A4)+B4</f>
        <v>-241.51277161136773</v>
      </c>
      <c r="G4" s="60">
        <f>H4</f>
        <v>100</v>
      </c>
      <c r="H4" s="60">
        <f>Fig!Q26</f>
        <v>100</v>
      </c>
      <c r="I4" s="16">
        <f>Fig!P26</f>
        <v>1.515</v>
      </c>
      <c r="J4" s="60">
        <f>T4/I4*SIN(A4)</f>
        <v>-0.6311786595175339</v>
      </c>
      <c r="K4" s="60">
        <f>TAN(ASIN(J4))</f>
        <v>-0.8137547193285455</v>
      </c>
      <c r="L4" s="74">
        <f>H4*(TAN(A4)-K4)</f>
        <v>-21.588383772181864</v>
      </c>
      <c r="M4" s="74">
        <f>-H4*L4/TAN(A4)</f>
        <v>-2096.695352398879</v>
      </c>
      <c r="N4" s="75">
        <f>(Q4-E4)*TAN(A4)+D4</f>
        <v>211.5281934907925</v>
      </c>
      <c r="O4" s="75">
        <f>AA4-40</f>
        <v>-340</v>
      </c>
      <c r="P4" s="75">
        <f>N4+L4</f>
        <v>189.93980971861063</v>
      </c>
      <c r="Q4" s="75">
        <f>O4</f>
        <v>-340</v>
      </c>
      <c r="R4" s="4">
        <f>(S4-C4)*TAN(A4)+B4+L4</f>
        <v>-160.1372996785132</v>
      </c>
      <c r="S4" s="79">
        <v>0</v>
      </c>
      <c r="T4" s="17">
        <f>Fig!P31</f>
        <v>1.333</v>
      </c>
      <c r="U4" s="17">
        <f>Fig!Q31</f>
        <v>1.333</v>
      </c>
      <c r="V4">
        <f aca="true" t="shared" si="0" ref="V4:V44">T4*SIN(A4)/U4</f>
        <v>-0.7173560908995228</v>
      </c>
      <c r="W4" s="7">
        <f aca="true" t="shared" si="1" ref="W4:W44">ASIN(V4)</f>
        <v>-0.7999999999999999</v>
      </c>
      <c r="X4">
        <f>TAN(W4)</f>
        <v>-1.029638557050364</v>
      </c>
      <c r="Y4" s="10">
        <f>ATAN(X4)</f>
        <v>-0.7999999999999999</v>
      </c>
      <c r="Z4" s="6">
        <f>(AA4-S4)*X4+R4+L4</f>
        <v>127.16588366441414</v>
      </c>
      <c r="AA4" s="59">
        <f>Fig!O26</f>
        <v>-300</v>
      </c>
      <c r="AB4" s="76">
        <f>Fig!O21</f>
        <v>1000</v>
      </c>
      <c r="AC4" s="13">
        <f>Fig!P21</f>
        <v>-51</v>
      </c>
      <c r="AD4" s="49">
        <f>Fig!Q21</f>
        <v>1.375</v>
      </c>
      <c r="AE4" s="13">
        <f>Fig!R21</f>
        <v>50</v>
      </c>
      <c r="AF4" s="10">
        <f>X4^2+1</f>
        <v>2.0601555581647553</v>
      </c>
      <c r="AG4" s="10">
        <f>R4-AB4-S4*X4</f>
        <v>-1160.1372996785133</v>
      </c>
      <c r="AH4" s="10">
        <f>2*X4*AG4-2*AC4</f>
        <v>2491.04419044258</v>
      </c>
      <c r="AI4" s="10">
        <f>AG4^2+AC4^2-AE4^2</f>
        <v>1346019.5541053526</v>
      </c>
      <c r="AJ4" s="10">
        <f>AH4^2-4*AF4*AI4</f>
        <v>-4886737.50441662</v>
      </c>
      <c r="AK4">
        <f aca="true" t="shared" si="2" ref="AK4:AK44">IF(AJ4&gt;0,(-AH4+SQRT(AJ4))/2/AF4,AA4)</f>
        <v>-300</v>
      </c>
      <c r="AL4">
        <f aca="true" t="shared" si="3" ref="AL4:AL44">IF(AJ4&gt;0,(-AH4-SQRT(AJ4))/2/AF4,AA4)</f>
        <v>-300</v>
      </c>
      <c r="AM4" s="10">
        <f aca="true" t="shared" si="4" ref="AM4:AM44">AE4^2-(AK4-AC4)^2</f>
        <v>-59501</v>
      </c>
      <c r="AN4" s="10">
        <f aca="true" t="shared" si="5" ref="AN4:AN44">AE4^2-(AL4-AC4)^2</f>
        <v>-59501</v>
      </c>
      <c r="AO4" s="21">
        <f aca="true" t="shared" si="6" ref="AO4:AO44">IF(AK4&lt;&gt;AA4,AB4+SQRT(AE4^2-(AK4-AC4)^2),Z4)</f>
        <v>127.16588366441414</v>
      </c>
      <c r="AP4" s="22">
        <f aca="true" t="shared" si="7" ref="AP4:AP44">IF(AL4&lt;&gt;AA4,AB4+SQRT(AE4^2-(AL4-AC4)^2),Z4)</f>
        <v>127.16588366441414</v>
      </c>
      <c r="AQ4" s="22">
        <f>IF(AK4&lt;&gt;AA4,AB4-SQRT(AE4^2-(AK4-AC4)^2),Z4)</f>
        <v>127.16588366441414</v>
      </c>
      <c r="AR4" s="23">
        <f>IF(AL4&lt;&gt;AA4,AB4-SQRT(AE4^2-(AL4-AC4)^2),Z4)</f>
        <v>127.16588366441414</v>
      </c>
      <c r="AS4" s="21">
        <f>IF(AK4&lt;&gt;AA4,(AO4-R4)/(AK4-S4),"")</f>
      </c>
      <c r="AT4" s="27">
        <f>IF(AL4&lt;&gt;AA4,(AP4-R4)/(AL4-S4),"")</f>
      </c>
      <c r="AU4" s="27">
        <f>IF(AK4&lt;&gt;AA4,(AQ4-R4)/(AK4-S4),"")</f>
      </c>
      <c r="AV4" s="23">
        <f>IF(AL4&lt;&gt;AA4,(AT4-R4)/(AL4-S4),"")</f>
      </c>
      <c r="AW4" s="30">
        <f>X4</f>
        <v>-1.029638557050364</v>
      </c>
      <c r="AX4" s="21">
        <f>IF(AK4&lt;&gt;AA4,IF(ABS(AS4-AW4)&lt;0.01,AO4,""),Z4)</f>
        <v>127.16588366441414</v>
      </c>
      <c r="AY4" s="33">
        <f>IF(OR(AK4=AA4,AX4=""),"",AK4)</f>
      </c>
      <c r="AZ4" s="22">
        <f>IF(AK4&lt;&gt;AA4,IF(ABS(AT4-AW4)&lt;0.01,AP4,""),Z4)</f>
        <v>127.16588366441414</v>
      </c>
      <c r="BA4" s="34">
        <f>IF(OR(AL4=AA4,AZ4=""),"",AL4)</f>
      </c>
      <c r="BB4" s="21">
        <f>IF(AK4&lt;&gt;AA4,IF(ABS(AU4-AW4)&lt;0.01,AQ4,""),Z4)</f>
        <v>127.16588366441414</v>
      </c>
      <c r="BC4" s="33">
        <f aca="true" t="shared" si="8" ref="BC4:BC44">IF(OR(AK4=AA4,BB4=""),"",AK4)</f>
      </c>
      <c r="BD4" s="33">
        <f>IF(AK4&lt;&gt;AA4,IF(ABS(AV4-AW4)&lt;0.01,AR4,""),Z4)</f>
        <v>127.16588366441414</v>
      </c>
      <c r="BE4" s="34">
        <f aca="true" t="shared" si="9" ref="BE4:BE44">IF(OR(AL4=AA4,BD4=""),"",AL4)</f>
      </c>
      <c r="BF4" s="37">
        <f aca="true" t="shared" si="10" ref="BF4:BF44">MAX(AY4,BA4,BC4,BE4)</f>
        <v>0</v>
      </c>
      <c r="BG4" s="37">
        <f aca="true" t="shared" si="11" ref="BG4:BG44">IF(BF4=AY4,AX4,IF(BF4=BA4,AZ4,IF(BF4=BC4,BB4,BD4)))</f>
        <v>127.16588366441414</v>
      </c>
      <c r="BH4" s="38">
        <f aca="true" t="shared" si="12" ref="BH4:BH44">IF(AK4=AA4,Z4,BG4)</f>
        <v>127.16588366441414</v>
      </c>
      <c r="BI4" s="38">
        <f aca="true" t="shared" si="13" ref="BI4:BI44">IF(AK4=AA4,AA4,BF4)</f>
        <v>-300</v>
      </c>
      <c r="BJ4" s="42">
        <f>R4</f>
        <v>-160.1372996785132</v>
      </c>
      <c r="BK4" s="42">
        <f>S4</f>
        <v>0</v>
      </c>
      <c r="BL4" s="43">
        <f aca="true" t="shared" si="14" ref="BL4:BL44">BH4</f>
        <v>127.16588366441414</v>
      </c>
      <c r="BM4" s="43">
        <f aca="true" t="shared" si="15" ref="BM4:BM44">BI4</f>
        <v>-300</v>
      </c>
      <c r="BN4" s="42">
        <f>AB4</f>
        <v>1000</v>
      </c>
      <c r="BO4" s="42">
        <f>AC4</f>
        <v>-51</v>
      </c>
      <c r="BP4" s="42">
        <f aca="true" t="shared" si="16" ref="BP4:BP44">IF(BM4&lt;&gt;AA4,(BL4-BN4)/AE4,"")</f>
      </c>
      <c r="BQ4" s="42">
        <f aca="true" t="shared" si="17" ref="BQ4:BQ44">IF(BM4&lt;&gt;AA4,(BM4-BO4)/AE4,"")</f>
      </c>
      <c r="BR4" s="42">
        <f aca="true" t="shared" si="18" ref="BR4:BR44">IF(BP4&lt;&gt;"",BQ4/BP4,"")</f>
      </c>
      <c r="BS4" s="42">
        <f aca="true" t="shared" si="19" ref="BS4:BS44">IF(BP4&lt;&gt;"",IF(AND(BP4&lt;0,BQ4&gt;0),PI()+ATAN(BR4),IF(AND(BP4&lt;0,BQ4&lt;0),ATAN(BR4)-PI(),ATAN(BR4))),"")</f>
      </c>
      <c r="BT4" s="42">
        <f aca="true" t="shared" si="20" ref="BT4:BT44">IF(BS4&lt;&gt;"",PI()/2-BS4-W4,"")</f>
      </c>
      <c r="BU4" s="42">
        <f aca="true" t="shared" si="21" ref="BU4:BU44">IF(BT4&lt;&gt;"",SIN(BT4),"")</f>
      </c>
      <c r="BV4" s="42">
        <f aca="true" t="shared" si="22" ref="BV4:BV44">IF(BT4&lt;&gt;"",U4*SIN(BT4)/AD4,"")</f>
      </c>
      <c r="BW4" s="42">
        <f aca="true" t="shared" si="23" ref="BW4:BW44">IF(BV4&lt;&gt;"",ASIN(BV4),"")</f>
      </c>
      <c r="BX4" s="42">
        <f aca="true" t="shared" si="24" ref="BX4:BX44">IF(BW4&lt;&gt;"",-PI()+BS4+2*BW4,"")</f>
      </c>
      <c r="BY4" s="45">
        <f aca="true" t="shared" si="25" ref="BY4:BY44">IF(BI4=AA4,Z4,AB4+AE4*COS(BX4))</f>
        <v>127.16588366441414</v>
      </c>
      <c r="BZ4" s="46">
        <f aca="true" t="shared" si="26" ref="BZ4:BZ44">IF(BI4=AA4,AA4,AC4+AE4*SIN(BX4))</f>
        <v>-300</v>
      </c>
      <c r="CA4" s="54">
        <f aca="true" t="shared" si="27" ref="CA4:CA44">IF(BT4&lt;&gt;"",COS(-BT4),"")</f>
      </c>
      <c r="CB4" s="54">
        <f aca="true" t="shared" si="28" ref="CB4:CB44">IF(BT4&lt;&gt;"",SIN(-BT4),"")</f>
      </c>
      <c r="CC4" s="54">
        <f aca="true" t="shared" si="29" ref="CC4:CC44">IF(CB4&lt;&gt;"",BY4-BN4,"")</f>
      </c>
      <c r="CD4" s="54">
        <f aca="true" t="shared" si="30" ref="CD4:CD44">IF(CB4&lt;&gt;"",BZ4-BO4,"")</f>
      </c>
      <c r="CE4" s="54">
        <f aca="true" t="shared" si="31" ref="CE4:CE44">IF(CA4&lt;&gt;"",BZ4-AA4,"")</f>
      </c>
      <c r="CF4" s="55">
        <f aca="true" t="shared" si="32" ref="CF4:CF44">IF(CA4&lt;&gt;"",(CC4*CA4-CD4*CB4)/AE4,"")</f>
      </c>
      <c r="CG4" s="55">
        <f aca="true" t="shared" si="33" ref="CG4:CG44">IF(CA4&lt;&gt;"",(CC4*CB4+CD4*CA4)/AE4,"")</f>
      </c>
      <c r="CH4">
        <f aca="true" t="shared" si="34" ref="CH4:CH44">IF(CA4&lt;&gt;"",BY4-CF4*CE4/CG4,Z4)</f>
        <v>127.16588366441414</v>
      </c>
      <c r="CI4">
        <f aca="true" t="shared" si="35" ref="CI4:CI44">IF(CA4&lt;&gt;"",BZ4-CE4,AA4)</f>
        <v>-300</v>
      </c>
    </row>
    <row r="5" spans="1:87" ht="13.5">
      <c r="A5" s="9">
        <v>-0.76</v>
      </c>
      <c r="B5" s="7">
        <f>B4</f>
        <v>-50</v>
      </c>
      <c r="C5" s="7">
        <f>C4</f>
        <v>-86</v>
      </c>
      <c r="D5" s="1">
        <f>(E5-C5)*TAN(A5)+B5</f>
        <v>-416.87426379499794</v>
      </c>
      <c r="E5">
        <f aca="true" t="shared" si="36" ref="E5:E24">E4</f>
        <v>300</v>
      </c>
      <c r="F5">
        <f>(G5-C5)*TAN(A5)+B5</f>
        <v>-226.78397167323737</v>
      </c>
      <c r="G5">
        <f>G4</f>
        <v>100</v>
      </c>
      <c r="H5">
        <f>H4</f>
        <v>100</v>
      </c>
      <c r="I5">
        <f>I4</f>
        <v>1.515</v>
      </c>
      <c r="J5">
        <f>T5*SIN(A5)/I5</f>
        <v>-0.606159924971858</v>
      </c>
      <c r="K5">
        <f aca="true" t="shared" si="37" ref="K5:K44">TAN(ASIN(J5))</f>
        <v>-0.7621366994766346</v>
      </c>
      <c r="L5" s="7">
        <f>H5*(TAN(A5)-K5)</f>
        <v>-18.831476113216837</v>
      </c>
      <c r="M5" s="7">
        <f>-H5*L5/TAN(A5)</f>
        <v>-1981.3190776890915</v>
      </c>
      <c r="N5" s="43">
        <f>(Q5-E5)*TAN(A5)+D5</f>
        <v>191.41467099463597</v>
      </c>
      <c r="O5" s="43">
        <f>AA5-40</f>
        <v>-340</v>
      </c>
      <c r="P5" s="43">
        <f>N5+L4</f>
        <v>169.8262872224541</v>
      </c>
      <c r="Q5" s="43">
        <f>O5</f>
        <v>-340</v>
      </c>
      <c r="R5" s="2">
        <f>(S5-C5)*TAN(A5)+B5+L4</f>
        <v>-153.32720938453892</v>
      </c>
      <c r="S5">
        <f>S4</f>
        <v>0</v>
      </c>
      <c r="T5">
        <f>T4</f>
        <v>1.333</v>
      </c>
      <c r="U5">
        <f>U4</f>
        <v>1.333</v>
      </c>
      <c r="V5">
        <f t="shared" si="0"/>
        <v>-0.6889214451105513</v>
      </c>
      <c r="W5" s="7">
        <f t="shared" si="1"/>
        <v>-0.7599999999999999</v>
      </c>
      <c r="X5">
        <f aca="true" t="shared" si="38" ref="X5:X44">TAN(W5)</f>
        <v>-0.9504514606088028</v>
      </c>
      <c r="Y5" s="10">
        <f aca="true" t="shared" si="39" ref="Y5:Y44">ATAN(X5)</f>
        <v>-0.7599999999999999</v>
      </c>
      <c r="Z5">
        <f>(AA5-S5)*X5+R5+L4</f>
        <v>110.21984502592005</v>
      </c>
      <c r="AA5">
        <f>AA4</f>
        <v>-300</v>
      </c>
      <c r="AB5" s="7">
        <f>AB4</f>
        <v>1000</v>
      </c>
      <c r="AC5">
        <f>AC4</f>
        <v>-51</v>
      </c>
      <c r="AD5">
        <f>AD4</f>
        <v>1.375</v>
      </c>
      <c r="AE5" s="11">
        <f>AE4-0.0000000000001</f>
        <v>49.9999999999999</v>
      </c>
      <c r="AF5" s="10">
        <f aca="true" t="shared" si="40" ref="AF5:AF44">X5^2+1</f>
        <v>1.9033579789734065</v>
      </c>
      <c r="AG5" s="10">
        <f aca="true" t="shared" si="41" ref="AG5:AG44">R5-AB5-S5*X5</f>
        <v>-1153.327209384539</v>
      </c>
      <c r="AH5" s="10">
        <f aca="true" t="shared" si="42" ref="AH5:AH44">2*X5*AG5-2*AC5</f>
        <v>2294.3630614388194</v>
      </c>
      <c r="AI5" s="10">
        <f aca="true" t="shared" si="43" ref="AI5:AI44">AG5^2+AC5^2-AE5^2</f>
        <v>1330264.651906728</v>
      </c>
      <c r="AJ5" s="10">
        <f aca="true" t="shared" si="44" ref="AJ5:AJ44">AH5^2-4*AF5*AI5</f>
        <v>-4863777.499716896</v>
      </c>
      <c r="AK5">
        <f t="shared" si="2"/>
        <v>-300</v>
      </c>
      <c r="AL5">
        <f t="shared" si="3"/>
        <v>-300</v>
      </c>
      <c r="AM5" s="10">
        <f t="shared" si="4"/>
        <v>-59501.00000000001</v>
      </c>
      <c r="AN5" s="10">
        <f t="shared" si="5"/>
        <v>-59501.00000000001</v>
      </c>
      <c r="AO5" s="21">
        <f t="shared" si="6"/>
        <v>110.21984502592005</v>
      </c>
      <c r="AP5" s="22">
        <f t="shared" si="7"/>
        <v>110.21984502592005</v>
      </c>
      <c r="AQ5" s="22">
        <f aca="true" t="shared" si="45" ref="AQ5:AQ44">IF(AK5&lt;&gt;AA5,AB5-SQRT(AE5^2-(AK5-AC5)^2),Z5)</f>
        <v>110.21984502592005</v>
      </c>
      <c r="AR5" s="23">
        <f aca="true" t="shared" si="46" ref="AR5:AR44">IF(AL5&lt;&gt;AA5,AB5-SQRT(AE5^2-(AL5-AC5)^2),Z5)</f>
        <v>110.21984502592005</v>
      </c>
      <c r="AS5" s="21">
        <f aca="true" t="shared" si="47" ref="AS5:AS44">IF(AK5&lt;&gt;AA5,(AO5-R5)/(AK5-S5),"")</f>
      </c>
      <c r="AT5" s="27">
        <f aca="true" t="shared" si="48" ref="AT5:AT44">IF(AL5&lt;&gt;AA5,(AP5-R5)/(AL5-S5),"")</f>
      </c>
      <c r="AU5" s="27">
        <f aca="true" t="shared" si="49" ref="AU5:AU44">IF(AK5&lt;&gt;AA5,(AQ5-R5)/(AK5-S5),"")</f>
      </c>
      <c r="AV5" s="23">
        <f aca="true" t="shared" si="50" ref="AV5:AV44">IF(AL5&lt;&gt;AA5,(AT5-R5)/(AL5-S5),"")</f>
      </c>
      <c r="AW5" s="30">
        <f aca="true" t="shared" si="51" ref="AW5:AW44">X5</f>
        <v>-0.9504514606088028</v>
      </c>
      <c r="AX5" s="21">
        <f aca="true" t="shared" si="52" ref="AX5:AX44">IF(AK5&lt;&gt;AA5,IF(ABS(AS5-AW5)&lt;0.01,AO5,""),Z5)</f>
        <v>110.21984502592005</v>
      </c>
      <c r="AY5" s="33">
        <f aca="true" t="shared" si="53" ref="AY5:AY44">IF(OR(AK5=AA5,AX5=""),"",AK5)</f>
      </c>
      <c r="AZ5" s="22">
        <f aca="true" t="shared" si="54" ref="AZ5:AZ44">IF(AK5&lt;&gt;AA5,IF(ABS(AT5-AW5)&lt;0.01,AP5,""),Z5)</f>
        <v>110.21984502592005</v>
      </c>
      <c r="BA5" s="34">
        <f aca="true" t="shared" si="55" ref="BA5:BA44">IF(OR(AL5=AA5,AZ5=""),"",AL5)</f>
      </c>
      <c r="BB5" s="21">
        <f aca="true" t="shared" si="56" ref="BB5:BB44">IF(AK5&lt;&gt;AA5,IF(ABS(AU5-AW5)&lt;0.01,AQ5,""),Z5)</f>
        <v>110.21984502592005</v>
      </c>
      <c r="BC5" s="33">
        <f t="shared" si="8"/>
      </c>
      <c r="BD5" s="33"/>
      <c r="BE5" s="34">
        <f t="shared" si="9"/>
      </c>
      <c r="BF5" s="37">
        <f t="shared" si="10"/>
        <v>0</v>
      </c>
      <c r="BG5" s="37">
        <f t="shared" si="11"/>
        <v>0</v>
      </c>
      <c r="BH5" s="38">
        <f t="shared" si="12"/>
        <v>110.21984502592005</v>
      </c>
      <c r="BI5" s="38">
        <f t="shared" si="13"/>
        <v>-300</v>
      </c>
      <c r="BJ5" s="42">
        <f aca="true" t="shared" si="57" ref="BJ5:BJ44">R5</f>
        <v>-153.32720938453892</v>
      </c>
      <c r="BK5" s="42">
        <f aca="true" t="shared" si="58" ref="BK5:BK44">S5</f>
        <v>0</v>
      </c>
      <c r="BL5" s="43">
        <f t="shared" si="14"/>
        <v>110.21984502592005</v>
      </c>
      <c r="BM5" s="43">
        <f t="shared" si="15"/>
        <v>-300</v>
      </c>
      <c r="BN5" s="42">
        <f aca="true" t="shared" si="59" ref="BN5:BN44">AB5</f>
        <v>1000</v>
      </c>
      <c r="BO5" s="42">
        <f aca="true" t="shared" si="60" ref="BO5:BO44">AC5</f>
        <v>-51</v>
      </c>
      <c r="BP5" s="42">
        <f t="shared" si="16"/>
      </c>
      <c r="BQ5" s="42">
        <f t="shared" si="17"/>
      </c>
      <c r="BR5" s="42">
        <f t="shared" si="18"/>
      </c>
      <c r="BS5" s="42">
        <f t="shared" si="19"/>
      </c>
      <c r="BT5" s="42">
        <f t="shared" si="20"/>
      </c>
      <c r="BU5" s="42">
        <f t="shared" si="21"/>
      </c>
      <c r="BV5" s="42">
        <f t="shared" si="22"/>
      </c>
      <c r="BW5" s="42">
        <f t="shared" si="23"/>
      </c>
      <c r="BX5" s="42">
        <f t="shared" si="24"/>
      </c>
      <c r="BY5" s="45">
        <f t="shared" si="25"/>
        <v>110.21984502592005</v>
      </c>
      <c r="BZ5" s="46">
        <f t="shared" si="26"/>
        <v>-300</v>
      </c>
      <c r="CA5" s="54">
        <f t="shared" si="27"/>
      </c>
      <c r="CB5" s="54">
        <f t="shared" si="28"/>
      </c>
      <c r="CC5" s="54">
        <f t="shared" si="29"/>
      </c>
      <c r="CD5" s="54">
        <f t="shared" si="30"/>
      </c>
      <c r="CE5" s="54">
        <f t="shared" si="31"/>
      </c>
      <c r="CF5" s="55">
        <f t="shared" si="32"/>
      </c>
      <c r="CG5" s="55">
        <f t="shared" si="33"/>
      </c>
      <c r="CH5">
        <f t="shared" si="34"/>
        <v>110.21984502592005</v>
      </c>
      <c r="CI5">
        <f t="shared" si="35"/>
        <v>-300</v>
      </c>
    </row>
    <row r="6" spans="1:87" ht="13.5">
      <c r="A6" s="9">
        <v>-0.72</v>
      </c>
      <c r="B6" s="7">
        <f aca="true" t="shared" si="61" ref="B6:B44">B5</f>
        <v>-50</v>
      </c>
      <c r="C6" s="7">
        <f aca="true" t="shared" si="62" ref="C6:C44">C5</f>
        <v>-86</v>
      </c>
      <c r="D6" s="1">
        <f aca="true" t="shared" si="63" ref="D6:D44">(E6-C6)*TAN(A6)+B6</f>
        <v>-388.54820935168595</v>
      </c>
      <c r="E6">
        <f t="shared" si="36"/>
        <v>300</v>
      </c>
      <c r="F6">
        <f aca="true" t="shared" si="64" ref="F6:F44">(G6-C6)*TAN(A6)+B6</f>
        <v>-213.13462937671915</v>
      </c>
      <c r="G6">
        <f aca="true" t="shared" si="65" ref="G6:G43">G5</f>
        <v>100</v>
      </c>
      <c r="H6">
        <f aca="true" t="shared" si="66" ref="H6:I21">H5</f>
        <v>100</v>
      </c>
      <c r="I6">
        <f t="shared" si="66"/>
        <v>1.515</v>
      </c>
      <c r="J6">
        <f aca="true" t="shared" si="67" ref="J6:J44">T6*SIN(A6)/I6</f>
        <v>-0.580171463853448</v>
      </c>
      <c r="K6">
        <f t="shared" si="37"/>
        <v>-0.712308750001944</v>
      </c>
      <c r="L6" s="7">
        <f aca="true" t="shared" si="68" ref="L6:L44">H6*(TAN(A6)-K6)</f>
        <v>-16.47591498728901</v>
      </c>
      <c r="M6" s="7">
        <f aca="true" t="shared" si="69" ref="M6:M43">-H6*L6/TAN(A6)</f>
        <v>-1878.5221748099864</v>
      </c>
      <c r="N6" s="43">
        <f aca="true" t="shared" si="70" ref="N6:N44">(Q6-E6)*TAN(A6)+D6</f>
        <v>172.77524656820788</v>
      </c>
      <c r="O6" s="43">
        <f aca="true" t="shared" si="71" ref="O6:O44">AA6-40</f>
        <v>-340</v>
      </c>
      <c r="P6" s="43">
        <f aca="true" t="shared" si="72" ref="P6:P44">N6+L5</f>
        <v>153.94377045499104</v>
      </c>
      <c r="Q6" s="43">
        <f aca="true" t="shared" si="73" ref="Q6:Q44">O6</f>
        <v>-340</v>
      </c>
      <c r="R6" s="2">
        <f aca="true" t="shared" si="74" ref="R6:R43">(S6-C6)*TAN(A6)+B6+L5</f>
        <v>-144.25931550245258</v>
      </c>
      <c r="S6">
        <f aca="true" t="shared" si="75" ref="S6:S24">S5</f>
        <v>0</v>
      </c>
      <c r="T6">
        <f aca="true" t="shared" si="76" ref="T6:T24">T5</f>
        <v>1.333</v>
      </c>
      <c r="U6">
        <f aca="true" t="shared" si="77" ref="U6:U21">U5</f>
        <v>1.333</v>
      </c>
      <c r="V6">
        <f t="shared" si="0"/>
        <v>-0.6593846719714731</v>
      </c>
      <c r="W6" s="7">
        <f t="shared" si="1"/>
        <v>-0.72</v>
      </c>
      <c r="X6">
        <f t="shared" si="38"/>
        <v>-0.8770678998748341</v>
      </c>
      <c r="Y6" s="10">
        <f t="shared" si="39"/>
        <v>-0.72</v>
      </c>
      <c r="Z6">
        <f aca="true" t="shared" si="78" ref="Z6:Z44">(AA6-S6)*X6+R6+L5</f>
        <v>100.02957834678082</v>
      </c>
      <c r="AA6">
        <f aca="true" t="shared" si="79" ref="AA6:AA44">AA5</f>
        <v>-300</v>
      </c>
      <c r="AB6" s="7">
        <f aca="true" t="shared" si="80" ref="AB6:AB44">AB5</f>
        <v>1000</v>
      </c>
      <c r="AC6">
        <f aca="true" t="shared" si="81" ref="AC6:AC44">AC5</f>
        <v>-51</v>
      </c>
      <c r="AD6">
        <f aca="true" t="shared" si="82" ref="AD6:AD44">AD5</f>
        <v>1.375</v>
      </c>
      <c r="AE6">
        <f aca="true" t="shared" si="83" ref="AE6:AE44">AE5</f>
        <v>49.9999999999999</v>
      </c>
      <c r="AF6" s="10">
        <f t="shared" si="40"/>
        <v>1.769248100990852</v>
      </c>
      <c r="AG6" s="10">
        <f t="shared" si="41"/>
        <v>-1144.2593155024526</v>
      </c>
      <c r="AH6" s="10">
        <f t="shared" si="42"/>
        <v>2109.1862295199026</v>
      </c>
      <c r="AI6" s="10">
        <f t="shared" si="43"/>
        <v>1309430.3811141415</v>
      </c>
      <c r="AJ6" s="10">
        <f t="shared" si="44"/>
        <v>-4818162.309867307</v>
      </c>
      <c r="AK6">
        <f t="shared" si="2"/>
        <v>-300</v>
      </c>
      <c r="AL6">
        <f t="shared" si="3"/>
        <v>-300</v>
      </c>
      <c r="AM6" s="10">
        <f t="shared" si="4"/>
        <v>-59501.00000000001</v>
      </c>
      <c r="AN6" s="10">
        <f t="shared" si="5"/>
        <v>-59501.00000000001</v>
      </c>
      <c r="AO6" s="21">
        <f t="shared" si="6"/>
        <v>100.02957834678082</v>
      </c>
      <c r="AP6" s="22">
        <f t="shared" si="7"/>
        <v>100.02957834678082</v>
      </c>
      <c r="AQ6" s="22">
        <f t="shared" si="45"/>
        <v>100.02957834678082</v>
      </c>
      <c r="AR6" s="23">
        <f t="shared" si="46"/>
        <v>100.02957834678082</v>
      </c>
      <c r="AS6" s="21">
        <f t="shared" si="47"/>
      </c>
      <c r="AT6" s="27">
        <f t="shared" si="48"/>
      </c>
      <c r="AU6" s="27">
        <f t="shared" si="49"/>
      </c>
      <c r="AV6" s="23">
        <f t="shared" si="50"/>
      </c>
      <c r="AW6" s="30">
        <f t="shared" si="51"/>
        <v>-0.8770678998748341</v>
      </c>
      <c r="AX6" s="21">
        <f t="shared" si="52"/>
        <v>100.02957834678082</v>
      </c>
      <c r="AY6" s="33">
        <f t="shared" si="53"/>
      </c>
      <c r="AZ6" s="22">
        <f t="shared" si="54"/>
        <v>100.02957834678082</v>
      </c>
      <c r="BA6" s="34">
        <f t="shared" si="55"/>
      </c>
      <c r="BB6" s="21">
        <f t="shared" si="56"/>
        <v>100.02957834678082</v>
      </c>
      <c r="BC6" s="33">
        <f t="shared" si="8"/>
      </c>
      <c r="BD6" s="33"/>
      <c r="BE6" s="34">
        <f t="shared" si="9"/>
      </c>
      <c r="BF6" s="37">
        <f t="shared" si="10"/>
        <v>0</v>
      </c>
      <c r="BG6" s="37">
        <f t="shared" si="11"/>
        <v>0</v>
      </c>
      <c r="BH6" s="38">
        <f t="shared" si="12"/>
        <v>100.02957834678082</v>
      </c>
      <c r="BI6" s="38">
        <f t="shared" si="13"/>
        <v>-300</v>
      </c>
      <c r="BJ6" s="42">
        <f t="shared" si="57"/>
        <v>-144.25931550245258</v>
      </c>
      <c r="BK6" s="42">
        <f t="shared" si="58"/>
        <v>0</v>
      </c>
      <c r="BL6" s="43">
        <f t="shared" si="14"/>
        <v>100.02957834678082</v>
      </c>
      <c r="BM6" s="43">
        <f t="shared" si="15"/>
        <v>-300</v>
      </c>
      <c r="BN6" s="42">
        <f t="shared" si="59"/>
        <v>1000</v>
      </c>
      <c r="BO6" s="42">
        <f t="shared" si="60"/>
        <v>-51</v>
      </c>
      <c r="BP6" s="42">
        <f t="shared" si="16"/>
      </c>
      <c r="BQ6" s="42">
        <f t="shared" si="17"/>
      </c>
      <c r="BR6" s="42">
        <f t="shared" si="18"/>
      </c>
      <c r="BS6" s="42">
        <f t="shared" si="19"/>
      </c>
      <c r="BT6" s="42">
        <f t="shared" si="20"/>
      </c>
      <c r="BU6" s="42">
        <f t="shared" si="21"/>
      </c>
      <c r="BV6" s="42">
        <f t="shared" si="22"/>
      </c>
      <c r="BW6" s="42">
        <f t="shared" si="23"/>
      </c>
      <c r="BX6" s="42">
        <f t="shared" si="24"/>
      </c>
      <c r="BY6" s="45">
        <f t="shared" si="25"/>
        <v>100.02957834678082</v>
      </c>
      <c r="BZ6" s="46">
        <f t="shared" si="26"/>
        <v>-300</v>
      </c>
      <c r="CA6" s="54">
        <f t="shared" si="27"/>
      </c>
      <c r="CB6" s="54">
        <f t="shared" si="28"/>
      </c>
      <c r="CC6" s="54">
        <f t="shared" si="29"/>
      </c>
      <c r="CD6" s="54">
        <f t="shared" si="30"/>
      </c>
      <c r="CE6" s="54">
        <f t="shared" si="31"/>
      </c>
      <c r="CF6" s="55">
        <f t="shared" si="32"/>
      </c>
      <c r="CG6" s="55">
        <f t="shared" si="33"/>
      </c>
      <c r="CH6">
        <f t="shared" si="34"/>
        <v>100.02957834678082</v>
      </c>
      <c r="CI6">
        <f t="shared" si="35"/>
        <v>-300</v>
      </c>
    </row>
    <row r="7" spans="1:87" ht="13.5">
      <c r="A7" s="9">
        <v>-0.68</v>
      </c>
      <c r="B7" s="7">
        <f t="shared" si="61"/>
        <v>-50</v>
      </c>
      <c r="C7" s="7">
        <f t="shared" si="62"/>
        <v>-86</v>
      </c>
      <c r="D7" s="1">
        <f t="shared" si="63"/>
        <v>-362.14329080503023</v>
      </c>
      <c r="E7">
        <f t="shared" si="36"/>
        <v>300</v>
      </c>
      <c r="F7">
        <f t="shared" si="64"/>
        <v>-200.41101577651716</v>
      </c>
      <c r="G7">
        <f t="shared" si="65"/>
        <v>100</v>
      </c>
      <c r="H7">
        <f t="shared" si="66"/>
        <v>100</v>
      </c>
      <c r="I7">
        <f t="shared" si="66"/>
        <v>1.515</v>
      </c>
      <c r="J7">
        <f t="shared" si="67"/>
        <v>-0.5532548521561839</v>
      </c>
      <c r="K7">
        <f t="shared" si="37"/>
        <v>-0.6641618868523301</v>
      </c>
      <c r="L7" s="7">
        <f t="shared" si="68"/>
        <v>-14.449948829023517</v>
      </c>
      <c r="M7" s="7">
        <f t="shared" si="69"/>
        <v>-1786.8973680702904</v>
      </c>
      <c r="N7" s="43">
        <f t="shared" si="70"/>
        <v>155.3999892862115</v>
      </c>
      <c r="O7" s="43">
        <f t="shared" si="71"/>
        <v>-340</v>
      </c>
      <c r="P7" s="43">
        <f t="shared" si="72"/>
        <v>138.9240742989225</v>
      </c>
      <c r="Q7" s="43">
        <f t="shared" si="73"/>
        <v>-340</v>
      </c>
      <c r="R7" s="2">
        <f t="shared" si="74"/>
        <v>-136.02079324954963</v>
      </c>
      <c r="S7">
        <f t="shared" si="75"/>
        <v>0</v>
      </c>
      <c r="T7">
        <f t="shared" si="76"/>
        <v>1.333</v>
      </c>
      <c r="U7">
        <f t="shared" si="77"/>
        <v>1.333</v>
      </c>
      <c r="V7">
        <f t="shared" si="0"/>
        <v>-0.6287930240184686</v>
      </c>
      <c r="W7" s="7">
        <f t="shared" si="1"/>
        <v>-0.68</v>
      </c>
      <c r="X7">
        <f t="shared" si="38"/>
        <v>-0.8086613751425653</v>
      </c>
      <c r="Y7" s="10">
        <f t="shared" si="39"/>
        <v>-0.68</v>
      </c>
      <c r="Z7">
        <f t="shared" si="78"/>
        <v>90.10170430593095</v>
      </c>
      <c r="AA7">
        <f t="shared" si="79"/>
        <v>-300</v>
      </c>
      <c r="AB7" s="7">
        <f t="shared" si="80"/>
        <v>1000</v>
      </c>
      <c r="AC7">
        <f t="shared" si="81"/>
        <v>-51</v>
      </c>
      <c r="AD7">
        <f t="shared" si="82"/>
        <v>1.375</v>
      </c>
      <c r="AE7">
        <f t="shared" si="83"/>
        <v>49.9999999999999</v>
      </c>
      <c r="AF7" s="10">
        <f t="shared" si="40"/>
        <v>1.6539332196474648</v>
      </c>
      <c r="AG7" s="10">
        <f t="shared" si="41"/>
        <v>-1136.0207932495496</v>
      </c>
      <c r="AH7" s="10">
        <f t="shared" si="42"/>
        <v>1939.3122737194572</v>
      </c>
      <c r="AI7" s="10">
        <f t="shared" si="43"/>
        <v>1290644.2426953358</v>
      </c>
      <c r="AJ7" s="10">
        <f t="shared" si="44"/>
        <v>-4777625.455963313</v>
      </c>
      <c r="AK7">
        <f t="shared" si="2"/>
        <v>-300</v>
      </c>
      <c r="AL7">
        <f t="shared" si="3"/>
        <v>-300</v>
      </c>
      <c r="AM7" s="10">
        <f t="shared" si="4"/>
        <v>-59501.00000000001</v>
      </c>
      <c r="AN7" s="10">
        <f t="shared" si="5"/>
        <v>-59501.00000000001</v>
      </c>
      <c r="AO7" s="21">
        <f t="shared" si="6"/>
        <v>90.10170430593095</v>
      </c>
      <c r="AP7" s="22">
        <f t="shared" si="7"/>
        <v>90.10170430593095</v>
      </c>
      <c r="AQ7" s="22">
        <f t="shared" si="45"/>
        <v>90.10170430593095</v>
      </c>
      <c r="AR7" s="23">
        <f t="shared" si="46"/>
        <v>90.10170430593095</v>
      </c>
      <c r="AS7" s="21">
        <f t="shared" si="47"/>
      </c>
      <c r="AT7" s="27">
        <f t="shared" si="48"/>
      </c>
      <c r="AU7" s="27">
        <f t="shared" si="49"/>
      </c>
      <c r="AV7" s="23">
        <f t="shared" si="50"/>
      </c>
      <c r="AW7" s="30">
        <f t="shared" si="51"/>
        <v>-0.8086613751425653</v>
      </c>
      <c r="AX7" s="21">
        <f t="shared" si="52"/>
        <v>90.10170430593095</v>
      </c>
      <c r="AY7" s="33">
        <f t="shared" si="53"/>
      </c>
      <c r="AZ7" s="22">
        <f t="shared" si="54"/>
        <v>90.10170430593095</v>
      </c>
      <c r="BA7" s="34">
        <f t="shared" si="55"/>
      </c>
      <c r="BB7" s="21">
        <f t="shared" si="56"/>
        <v>90.10170430593095</v>
      </c>
      <c r="BC7" s="33">
        <f t="shared" si="8"/>
      </c>
      <c r="BD7" s="33"/>
      <c r="BE7" s="34">
        <f t="shared" si="9"/>
      </c>
      <c r="BF7" s="37">
        <f t="shared" si="10"/>
        <v>0</v>
      </c>
      <c r="BG7" s="37">
        <f t="shared" si="11"/>
        <v>0</v>
      </c>
      <c r="BH7" s="38">
        <f t="shared" si="12"/>
        <v>90.10170430593095</v>
      </c>
      <c r="BI7" s="38">
        <f t="shared" si="13"/>
        <v>-300</v>
      </c>
      <c r="BJ7" s="42">
        <f t="shared" si="57"/>
        <v>-136.02079324954963</v>
      </c>
      <c r="BK7" s="42">
        <f t="shared" si="58"/>
        <v>0</v>
      </c>
      <c r="BL7" s="43">
        <f t="shared" si="14"/>
        <v>90.10170430593095</v>
      </c>
      <c r="BM7" s="43">
        <f t="shared" si="15"/>
        <v>-300</v>
      </c>
      <c r="BN7" s="42">
        <f t="shared" si="59"/>
        <v>1000</v>
      </c>
      <c r="BO7" s="42">
        <f t="shared" si="60"/>
        <v>-51</v>
      </c>
      <c r="BP7" s="42">
        <f t="shared" si="16"/>
      </c>
      <c r="BQ7" s="42">
        <f t="shared" si="17"/>
      </c>
      <c r="BR7" s="42">
        <f t="shared" si="18"/>
      </c>
      <c r="BS7" s="42">
        <f t="shared" si="19"/>
      </c>
      <c r="BT7" s="42">
        <f t="shared" si="20"/>
      </c>
      <c r="BU7" s="42">
        <f t="shared" si="21"/>
      </c>
      <c r="BV7" s="42">
        <f t="shared" si="22"/>
      </c>
      <c r="BW7" s="42">
        <f t="shared" si="23"/>
      </c>
      <c r="BX7" s="42">
        <f t="shared" si="24"/>
      </c>
      <c r="BY7" s="45">
        <f t="shared" si="25"/>
        <v>90.10170430593095</v>
      </c>
      <c r="BZ7" s="46">
        <f t="shared" si="26"/>
        <v>-300</v>
      </c>
      <c r="CA7" s="54">
        <f t="shared" si="27"/>
      </c>
      <c r="CB7" s="54">
        <f t="shared" si="28"/>
      </c>
      <c r="CC7" s="54">
        <f t="shared" si="29"/>
      </c>
      <c r="CD7" s="54">
        <f t="shared" si="30"/>
      </c>
      <c r="CE7" s="54">
        <f t="shared" si="31"/>
      </c>
      <c r="CF7" s="55">
        <f t="shared" si="32"/>
      </c>
      <c r="CG7" s="55">
        <f t="shared" si="33"/>
      </c>
      <c r="CH7">
        <f t="shared" si="34"/>
        <v>90.10170430593095</v>
      </c>
      <c r="CI7">
        <f t="shared" si="35"/>
        <v>-300</v>
      </c>
    </row>
    <row r="8" spans="1:87" ht="13.5">
      <c r="A8" s="9">
        <v>-0.64</v>
      </c>
      <c r="B8" s="7">
        <f t="shared" si="61"/>
        <v>-50</v>
      </c>
      <c r="C8" s="7">
        <f t="shared" si="62"/>
        <v>-86</v>
      </c>
      <c r="D8" s="1">
        <f t="shared" si="63"/>
        <v>-337.3939153772921</v>
      </c>
      <c r="E8">
        <f t="shared" si="36"/>
        <v>300</v>
      </c>
      <c r="F8">
        <f t="shared" si="64"/>
        <v>-188.4851509330993</v>
      </c>
      <c r="G8">
        <f t="shared" si="65"/>
        <v>100</v>
      </c>
      <c r="H8">
        <f t="shared" si="66"/>
        <v>100</v>
      </c>
      <c r="I8">
        <f t="shared" si="66"/>
        <v>1.515</v>
      </c>
      <c r="J8">
        <f t="shared" si="67"/>
        <v>-0.525453150716877</v>
      </c>
      <c r="K8">
        <f t="shared" si="37"/>
        <v>-0.6175825498019385</v>
      </c>
      <c r="L8" s="7">
        <f t="shared" si="68"/>
        <v>-12.696127241902545</v>
      </c>
      <c r="M8" s="7">
        <f t="shared" si="69"/>
        <v>-1705.2222935689902</v>
      </c>
      <c r="N8" s="43">
        <f t="shared" si="70"/>
        <v>139.11413084412482</v>
      </c>
      <c r="O8" s="43">
        <f t="shared" si="71"/>
        <v>-340</v>
      </c>
      <c r="P8" s="43">
        <f t="shared" si="72"/>
        <v>124.6641820151013</v>
      </c>
      <c r="Q8" s="43">
        <f t="shared" si="73"/>
        <v>-340</v>
      </c>
      <c r="R8" s="2">
        <f t="shared" si="74"/>
        <v>-128.4807175400264</v>
      </c>
      <c r="S8">
        <f t="shared" si="75"/>
        <v>0</v>
      </c>
      <c r="T8">
        <f t="shared" si="76"/>
        <v>1.333</v>
      </c>
      <c r="U8">
        <f t="shared" si="77"/>
        <v>1.333</v>
      </c>
      <c r="V8">
        <f t="shared" si="0"/>
        <v>-0.5971954413623921</v>
      </c>
      <c r="W8" s="7">
        <f t="shared" si="1"/>
        <v>-0.6400000000000001</v>
      </c>
      <c r="X8">
        <f t="shared" si="38"/>
        <v>-0.744543822220964</v>
      </c>
      <c r="Y8" s="10">
        <f t="shared" si="39"/>
        <v>-0.6400000000000001</v>
      </c>
      <c r="Z8">
        <f t="shared" si="78"/>
        <v>80.43248029723931</v>
      </c>
      <c r="AA8">
        <f t="shared" si="79"/>
        <v>-300</v>
      </c>
      <c r="AB8" s="7">
        <f t="shared" si="80"/>
        <v>1000</v>
      </c>
      <c r="AC8">
        <f t="shared" si="81"/>
        <v>-51</v>
      </c>
      <c r="AD8">
        <f t="shared" si="82"/>
        <v>1.375</v>
      </c>
      <c r="AE8">
        <f t="shared" si="83"/>
        <v>49.9999999999999</v>
      </c>
      <c r="AF8" s="10">
        <f t="shared" si="40"/>
        <v>1.5543455032074025</v>
      </c>
      <c r="AG8" s="10">
        <f t="shared" si="41"/>
        <v>-1128.4807175400265</v>
      </c>
      <c r="AH8" s="10">
        <f t="shared" si="42"/>
        <v>1782.4066934798147</v>
      </c>
      <c r="AI8" s="10">
        <f t="shared" si="43"/>
        <v>1273569.7298596532</v>
      </c>
      <c r="AJ8" s="10">
        <f t="shared" si="44"/>
        <v>-4741295.909552027</v>
      </c>
      <c r="AK8">
        <f t="shared" si="2"/>
        <v>-300</v>
      </c>
      <c r="AL8">
        <f t="shared" si="3"/>
        <v>-300</v>
      </c>
      <c r="AM8" s="10">
        <f t="shared" si="4"/>
        <v>-59501.00000000001</v>
      </c>
      <c r="AN8" s="10">
        <f t="shared" si="5"/>
        <v>-59501.00000000001</v>
      </c>
      <c r="AO8" s="21">
        <f t="shared" si="6"/>
        <v>80.43248029723931</v>
      </c>
      <c r="AP8" s="22">
        <f t="shared" si="7"/>
        <v>80.43248029723931</v>
      </c>
      <c r="AQ8" s="22">
        <f t="shared" si="45"/>
        <v>80.43248029723931</v>
      </c>
      <c r="AR8" s="23">
        <f t="shared" si="46"/>
        <v>80.43248029723931</v>
      </c>
      <c r="AS8" s="21">
        <f t="shared" si="47"/>
      </c>
      <c r="AT8" s="27">
        <f t="shared" si="48"/>
      </c>
      <c r="AU8" s="27">
        <f t="shared" si="49"/>
      </c>
      <c r="AV8" s="23">
        <f t="shared" si="50"/>
      </c>
      <c r="AW8" s="30">
        <f t="shared" si="51"/>
        <v>-0.744543822220964</v>
      </c>
      <c r="AX8" s="21">
        <f t="shared" si="52"/>
        <v>80.43248029723931</v>
      </c>
      <c r="AY8" s="33">
        <f t="shared" si="53"/>
      </c>
      <c r="AZ8" s="22">
        <f t="shared" si="54"/>
        <v>80.43248029723931</v>
      </c>
      <c r="BA8" s="34">
        <f t="shared" si="55"/>
      </c>
      <c r="BB8" s="21">
        <f t="shared" si="56"/>
        <v>80.43248029723931</v>
      </c>
      <c r="BC8" s="33">
        <f t="shared" si="8"/>
      </c>
      <c r="BD8" s="33"/>
      <c r="BE8" s="34">
        <f t="shared" si="9"/>
      </c>
      <c r="BF8" s="37">
        <f t="shared" si="10"/>
        <v>0</v>
      </c>
      <c r="BG8" s="37">
        <f t="shared" si="11"/>
        <v>0</v>
      </c>
      <c r="BH8" s="38">
        <f t="shared" si="12"/>
        <v>80.43248029723931</v>
      </c>
      <c r="BI8" s="38">
        <f t="shared" si="13"/>
        <v>-300</v>
      </c>
      <c r="BJ8" s="42">
        <f t="shared" si="57"/>
        <v>-128.4807175400264</v>
      </c>
      <c r="BK8" s="42">
        <f t="shared" si="58"/>
        <v>0</v>
      </c>
      <c r="BL8" s="43">
        <f t="shared" si="14"/>
        <v>80.43248029723931</v>
      </c>
      <c r="BM8" s="43">
        <f t="shared" si="15"/>
        <v>-300</v>
      </c>
      <c r="BN8" s="42">
        <f t="shared" si="59"/>
        <v>1000</v>
      </c>
      <c r="BO8" s="42">
        <f t="shared" si="60"/>
        <v>-51</v>
      </c>
      <c r="BP8" s="42">
        <f t="shared" si="16"/>
      </c>
      <c r="BQ8" s="42">
        <f t="shared" si="17"/>
      </c>
      <c r="BR8" s="42">
        <f t="shared" si="18"/>
      </c>
      <c r="BS8" s="42">
        <f t="shared" si="19"/>
      </c>
      <c r="BT8" s="42">
        <f t="shared" si="20"/>
      </c>
      <c r="BU8" s="42">
        <f t="shared" si="21"/>
      </c>
      <c r="BV8" s="42">
        <f t="shared" si="22"/>
      </c>
      <c r="BW8" s="42">
        <f t="shared" si="23"/>
      </c>
      <c r="BX8" s="42">
        <f t="shared" si="24"/>
      </c>
      <c r="BY8" s="45">
        <f t="shared" si="25"/>
        <v>80.43248029723931</v>
      </c>
      <c r="BZ8" s="46">
        <f t="shared" si="26"/>
        <v>-300</v>
      </c>
      <c r="CA8" s="54">
        <f t="shared" si="27"/>
      </c>
      <c r="CB8" s="54">
        <f t="shared" si="28"/>
      </c>
      <c r="CC8" s="54">
        <f t="shared" si="29"/>
      </c>
      <c r="CD8" s="54">
        <f t="shared" si="30"/>
      </c>
      <c r="CE8" s="54">
        <f t="shared" si="31"/>
      </c>
      <c r="CF8" s="55">
        <f t="shared" si="32"/>
      </c>
      <c r="CG8" s="55">
        <f t="shared" si="33"/>
      </c>
      <c r="CH8">
        <f t="shared" si="34"/>
        <v>80.43248029723931</v>
      </c>
      <c r="CI8">
        <f t="shared" si="35"/>
        <v>-300</v>
      </c>
    </row>
    <row r="9" spans="1:87" ht="13.5">
      <c r="A9" s="9">
        <v>-0.6</v>
      </c>
      <c r="B9" s="7">
        <f t="shared" si="61"/>
        <v>-50</v>
      </c>
      <c r="C9" s="7">
        <f t="shared" si="62"/>
        <v>-86</v>
      </c>
      <c r="D9" s="1">
        <f t="shared" si="63"/>
        <v>-314.07680801989324</v>
      </c>
      <c r="E9">
        <f t="shared" si="36"/>
        <v>300</v>
      </c>
      <c r="F9">
        <f t="shared" si="64"/>
        <v>-177.24944635155475</v>
      </c>
      <c r="G9">
        <f t="shared" si="65"/>
        <v>100</v>
      </c>
      <c r="H9">
        <f t="shared" si="66"/>
        <v>100</v>
      </c>
      <c r="I9">
        <f t="shared" si="66"/>
        <v>1.515</v>
      </c>
      <c r="J9">
        <f t="shared" si="67"/>
        <v>-0.496810836327117</v>
      </c>
      <c r="K9">
        <f t="shared" si="37"/>
        <v>-0.572455801115561</v>
      </c>
      <c r="L9" s="7">
        <f t="shared" si="68"/>
        <v>-11.168100722613127</v>
      </c>
      <c r="M9" s="7">
        <f t="shared" si="69"/>
        <v>-1632.4367562803634</v>
      </c>
      <c r="N9" s="43">
        <f t="shared" si="70"/>
        <v>123.77074931878985</v>
      </c>
      <c r="O9" s="43">
        <f t="shared" si="71"/>
        <v>-340</v>
      </c>
      <c r="P9" s="43">
        <f t="shared" si="72"/>
        <v>111.07462207688731</v>
      </c>
      <c r="Q9" s="43">
        <f t="shared" si="73"/>
        <v>-340</v>
      </c>
      <c r="R9" s="2">
        <f t="shared" si="74"/>
        <v>-121.53189275928808</v>
      </c>
      <c r="S9">
        <f t="shared" si="75"/>
        <v>0</v>
      </c>
      <c r="T9">
        <f t="shared" si="76"/>
        <v>1.333</v>
      </c>
      <c r="U9">
        <f t="shared" si="77"/>
        <v>1.333</v>
      </c>
      <c r="V9">
        <f t="shared" si="0"/>
        <v>-0.5646424733950354</v>
      </c>
      <c r="W9" s="7">
        <f t="shared" si="1"/>
        <v>-0.6</v>
      </c>
      <c r="X9">
        <f t="shared" si="38"/>
        <v>-0.6841368083416923</v>
      </c>
      <c r="Y9" s="10">
        <f t="shared" si="39"/>
        <v>-0.6</v>
      </c>
      <c r="Z9">
        <f t="shared" si="78"/>
        <v>71.01302250131707</v>
      </c>
      <c r="AA9">
        <f t="shared" si="79"/>
        <v>-300</v>
      </c>
      <c r="AB9" s="7">
        <f t="shared" si="80"/>
        <v>1000</v>
      </c>
      <c r="AC9">
        <f t="shared" si="81"/>
        <v>-51</v>
      </c>
      <c r="AD9">
        <f t="shared" si="82"/>
        <v>1.375</v>
      </c>
      <c r="AE9">
        <f t="shared" si="83"/>
        <v>49.9999999999999</v>
      </c>
      <c r="AF9" s="10">
        <f t="shared" si="40"/>
        <v>1.4680431725279575</v>
      </c>
      <c r="AG9" s="10">
        <f t="shared" si="41"/>
        <v>-1121.531892759288</v>
      </c>
      <c r="AH9" s="10">
        <f t="shared" si="42"/>
        <v>1636.5624991315128</v>
      </c>
      <c r="AI9" s="10">
        <f t="shared" si="43"/>
        <v>1257934.786476231</v>
      </c>
      <c r="AJ9" s="10">
        <f t="shared" si="44"/>
        <v>-4708473.485523796</v>
      </c>
      <c r="AK9">
        <f t="shared" si="2"/>
        <v>-300</v>
      </c>
      <c r="AL9">
        <f t="shared" si="3"/>
        <v>-300</v>
      </c>
      <c r="AM9" s="10">
        <f t="shared" si="4"/>
        <v>-59501.00000000001</v>
      </c>
      <c r="AN9" s="10">
        <f t="shared" si="5"/>
        <v>-59501.00000000001</v>
      </c>
      <c r="AO9" s="21">
        <f t="shared" si="6"/>
        <v>71.01302250131707</v>
      </c>
      <c r="AP9" s="22">
        <f t="shared" si="7"/>
        <v>71.01302250131707</v>
      </c>
      <c r="AQ9" s="22">
        <f t="shared" si="45"/>
        <v>71.01302250131707</v>
      </c>
      <c r="AR9" s="23">
        <f t="shared" si="46"/>
        <v>71.01302250131707</v>
      </c>
      <c r="AS9" s="21">
        <f t="shared" si="47"/>
      </c>
      <c r="AT9" s="27">
        <f t="shared" si="48"/>
      </c>
      <c r="AU9" s="27">
        <f t="shared" si="49"/>
      </c>
      <c r="AV9" s="23">
        <f t="shared" si="50"/>
      </c>
      <c r="AW9" s="30">
        <f t="shared" si="51"/>
        <v>-0.6841368083416923</v>
      </c>
      <c r="AX9" s="21">
        <f t="shared" si="52"/>
        <v>71.01302250131707</v>
      </c>
      <c r="AY9" s="33">
        <f t="shared" si="53"/>
      </c>
      <c r="AZ9" s="22">
        <f t="shared" si="54"/>
        <v>71.01302250131707</v>
      </c>
      <c r="BA9" s="34">
        <f t="shared" si="55"/>
      </c>
      <c r="BB9" s="21">
        <f t="shared" si="56"/>
        <v>71.01302250131707</v>
      </c>
      <c r="BC9" s="33">
        <f t="shared" si="8"/>
      </c>
      <c r="BD9" s="33"/>
      <c r="BE9" s="34">
        <f t="shared" si="9"/>
      </c>
      <c r="BF9" s="37">
        <f t="shared" si="10"/>
        <v>0</v>
      </c>
      <c r="BG9" s="37">
        <f t="shared" si="11"/>
        <v>0</v>
      </c>
      <c r="BH9" s="38">
        <f t="shared" si="12"/>
        <v>71.01302250131707</v>
      </c>
      <c r="BI9" s="38">
        <f t="shared" si="13"/>
        <v>-300</v>
      </c>
      <c r="BJ9" s="42">
        <f t="shared" si="57"/>
        <v>-121.53189275928808</v>
      </c>
      <c r="BK9" s="42">
        <f t="shared" si="58"/>
        <v>0</v>
      </c>
      <c r="BL9" s="43">
        <f t="shared" si="14"/>
        <v>71.01302250131707</v>
      </c>
      <c r="BM9" s="43">
        <f t="shared" si="15"/>
        <v>-300</v>
      </c>
      <c r="BN9" s="42">
        <f t="shared" si="59"/>
        <v>1000</v>
      </c>
      <c r="BO9" s="42">
        <f t="shared" si="60"/>
        <v>-51</v>
      </c>
      <c r="BP9" s="42">
        <f t="shared" si="16"/>
      </c>
      <c r="BQ9" s="42">
        <f t="shared" si="17"/>
      </c>
      <c r="BR9" s="42">
        <f t="shared" si="18"/>
      </c>
      <c r="BS9" s="42">
        <f t="shared" si="19"/>
      </c>
      <c r="BT9" s="42">
        <f t="shared" si="20"/>
      </c>
      <c r="BU9" s="42">
        <f t="shared" si="21"/>
      </c>
      <c r="BV9" s="42">
        <f t="shared" si="22"/>
      </c>
      <c r="BW9" s="42">
        <f t="shared" si="23"/>
      </c>
      <c r="BX9" s="42">
        <f t="shared" si="24"/>
      </c>
      <c r="BY9" s="45">
        <f t="shared" si="25"/>
        <v>71.01302250131707</v>
      </c>
      <c r="BZ9" s="46">
        <f t="shared" si="26"/>
        <v>-300</v>
      </c>
      <c r="CA9" s="54">
        <f t="shared" si="27"/>
      </c>
      <c r="CB9" s="54">
        <f t="shared" si="28"/>
      </c>
      <c r="CC9" s="54">
        <f t="shared" si="29"/>
      </c>
      <c r="CD9" s="54">
        <f t="shared" si="30"/>
      </c>
      <c r="CE9" s="54">
        <f t="shared" si="31"/>
      </c>
      <c r="CF9" s="55">
        <f t="shared" si="32"/>
      </c>
      <c r="CG9" s="55">
        <f t="shared" si="33"/>
      </c>
      <c r="CH9">
        <f t="shared" si="34"/>
        <v>71.01302250131707</v>
      </c>
      <c r="CI9">
        <f t="shared" si="35"/>
        <v>-300</v>
      </c>
    </row>
    <row r="10" spans="1:87" ht="13.5">
      <c r="A10" s="9">
        <v>-0.56</v>
      </c>
      <c r="B10" s="7">
        <f t="shared" si="61"/>
        <v>-50</v>
      </c>
      <c r="C10" s="7">
        <f t="shared" si="62"/>
        <v>-86</v>
      </c>
      <c r="D10" s="1">
        <f t="shared" si="63"/>
        <v>-292.0025205303415</v>
      </c>
      <c r="E10">
        <f t="shared" si="36"/>
        <v>300</v>
      </c>
      <c r="F10">
        <f t="shared" si="64"/>
        <v>-166.61261351980187</v>
      </c>
      <c r="G10">
        <f t="shared" si="65"/>
        <v>100</v>
      </c>
      <c r="H10">
        <f t="shared" si="66"/>
        <v>100</v>
      </c>
      <c r="I10">
        <f t="shared" si="66"/>
        <v>1.515</v>
      </c>
      <c r="J10">
        <f t="shared" si="67"/>
        <v>-0.4673737305798928</v>
      </c>
      <c r="K10">
        <f t="shared" si="37"/>
        <v>-0.5286675300127338</v>
      </c>
      <c r="L10" s="7">
        <f t="shared" si="68"/>
        <v>-9.828200503996442</v>
      </c>
      <c r="M10" s="7">
        <f t="shared" si="69"/>
        <v>-1567.6222653503255</v>
      </c>
      <c r="N10" s="43">
        <f t="shared" si="70"/>
        <v>109.2451819033854</v>
      </c>
      <c r="O10" s="43">
        <f t="shared" si="71"/>
        <v>-340</v>
      </c>
      <c r="P10" s="43">
        <f t="shared" si="72"/>
        <v>98.07708118077227</v>
      </c>
      <c r="Q10" s="43">
        <f t="shared" si="73"/>
        <v>-340</v>
      </c>
      <c r="R10" s="2">
        <f t="shared" si="74"/>
        <v>-115.08576073714518</v>
      </c>
      <c r="S10">
        <f t="shared" si="75"/>
        <v>0</v>
      </c>
      <c r="T10">
        <f t="shared" si="76"/>
        <v>1.333</v>
      </c>
      <c r="U10">
        <f t="shared" si="77"/>
        <v>1.333</v>
      </c>
      <c r="V10">
        <f t="shared" si="0"/>
        <v>-0.5311861979208834</v>
      </c>
      <c r="W10" s="7">
        <f t="shared" si="1"/>
        <v>-0.5599999999999999</v>
      </c>
      <c r="X10">
        <f t="shared" si="38"/>
        <v>-0.6269495350526981</v>
      </c>
      <c r="Y10" s="10">
        <f t="shared" si="39"/>
        <v>-0.5599999999999999</v>
      </c>
      <c r="Z10">
        <f t="shared" si="78"/>
        <v>61.83099905605112</v>
      </c>
      <c r="AA10">
        <f t="shared" si="79"/>
        <v>-300</v>
      </c>
      <c r="AB10" s="7">
        <f t="shared" si="80"/>
        <v>1000</v>
      </c>
      <c r="AC10">
        <f t="shared" si="81"/>
        <v>-51</v>
      </c>
      <c r="AD10">
        <f t="shared" si="82"/>
        <v>1.375</v>
      </c>
      <c r="AE10">
        <f t="shared" si="83"/>
        <v>49.9999999999999</v>
      </c>
      <c r="AF10" s="10">
        <f t="shared" si="40"/>
        <v>1.3930657195027942</v>
      </c>
      <c r="AG10" s="10">
        <f t="shared" si="41"/>
        <v>-1115.0857607371452</v>
      </c>
      <c r="AH10" s="10">
        <f t="shared" si="42"/>
        <v>1500.2049984760747</v>
      </c>
      <c r="AI10" s="10">
        <f t="shared" si="43"/>
        <v>1243517.2537987377</v>
      </c>
      <c r="AJ10" s="10">
        <f t="shared" si="44"/>
        <v>-4678589.99405651</v>
      </c>
      <c r="AK10">
        <f t="shared" si="2"/>
        <v>-300</v>
      </c>
      <c r="AL10">
        <f t="shared" si="3"/>
        <v>-300</v>
      </c>
      <c r="AM10" s="10">
        <f t="shared" si="4"/>
        <v>-59501.00000000001</v>
      </c>
      <c r="AN10" s="10">
        <f t="shared" si="5"/>
        <v>-59501.00000000001</v>
      </c>
      <c r="AO10" s="21">
        <f t="shared" si="6"/>
        <v>61.83099905605112</v>
      </c>
      <c r="AP10" s="22">
        <f t="shared" si="7"/>
        <v>61.83099905605112</v>
      </c>
      <c r="AQ10" s="22">
        <f t="shared" si="45"/>
        <v>61.83099905605112</v>
      </c>
      <c r="AR10" s="23">
        <f t="shared" si="46"/>
        <v>61.83099905605112</v>
      </c>
      <c r="AS10" s="21">
        <f t="shared" si="47"/>
      </c>
      <c r="AT10" s="27">
        <f t="shared" si="48"/>
      </c>
      <c r="AU10" s="27">
        <f t="shared" si="49"/>
      </c>
      <c r="AV10" s="23">
        <f t="shared" si="50"/>
      </c>
      <c r="AW10" s="30">
        <f t="shared" si="51"/>
        <v>-0.6269495350526981</v>
      </c>
      <c r="AX10" s="21">
        <f t="shared" si="52"/>
        <v>61.83099905605112</v>
      </c>
      <c r="AY10" s="33">
        <f t="shared" si="53"/>
      </c>
      <c r="AZ10" s="22">
        <f t="shared" si="54"/>
        <v>61.83099905605112</v>
      </c>
      <c r="BA10" s="34">
        <f t="shared" si="55"/>
      </c>
      <c r="BB10" s="21">
        <f t="shared" si="56"/>
        <v>61.83099905605112</v>
      </c>
      <c r="BC10" s="33">
        <f t="shared" si="8"/>
      </c>
      <c r="BD10" s="33"/>
      <c r="BE10" s="34">
        <f t="shared" si="9"/>
      </c>
      <c r="BF10" s="37">
        <f t="shared" si="10"/>
        <v>0</v>
      </c>
      <c r="BG10" s="37">
        <f t="shared" si="11"/>
        <v>0</v>
      </c>
      <c r="BH10" s="38">
        <f t="shared" si="12"/>
        <v>61.83099905605112</v>
      </c>
      <c r="BI10" s="38">
        <f t="shared" si="13"/>
        <v>-300</v>
      </c>
      <c r="BJ10" s="42">
        <f t="shared" si="57"/>
        <v>-115.08576073714518</v>
      </c>
      <c r="BK10" s="42">
        <f t="shared" si="58"/>
        <v>0</v>
      </c>
      <c r="BL10" s="43">
        <f t="shared" si="14"/>
        <v>61.83099905605112</v>
      </c>
      <c r="BM10" s="43">
        <f t="shared" si="15"/>
        <v>-300</v>
      </c>
      <c r="BN10" s="42">
        <f t="shared" si="59"/>
        <v>1000</v>
      </c>
      <c r="BO10" s="42">
        <f t="shared" si="60"/>
        <v>-51</v>
      </c>
      <c r="BP10" s="42">
        <f t="shared" si="16"/>
      </c>
      <c r="BQ10" s="42">
        <f t="shared" si="17"/>
      </c>
      <c r="BR10" s="42">
        <f t="shared" si="18"/>
      </c>
      <c r="BS10" s="42">
        <f t="shared" si="19"/>
      </c>
      <c r="BT10" s="42">
        <f t="shared" si="20"/>
      </c>
      <c r="BU10" s="42">
        <f t="shared" si="21"/>
      </c>
      <c r="BV10" s="42">
        <f t="shared" si="22"/>
      </c>
      <c r="BW10" s="42">
        <f t="shared" si="23"/>
      </c>
      <c r="BX10" s="42">
        <f t="shared" si="24"/>
      </c>
      <c r="BY10" s="45">
        <f t="shared" si="25"/>
        <v>61.83099905605112</v>
      </c>
      <c r="BZ10" s="46">
        <f t="shared" si="26"/>
        <v>-300</v>
      </c>
      <c r="CA10" s="54">
        <f t="shared" si="27"/>
      </c>
      <c r="CB10" s="54">
        <f t="shared" si="28"/>
      </c>
      <c r="CC10" s="54">
        <f t="shared" si="29"/>
      </c>
      <c r="CD10" s="54">
        <f t="shared" si="30"/>
      </c>
      <c r="CE10" s="54">
        <f t="shared" si="31"/>
      </c>
      <c r="CF10" s="55">
        <f t="shared" si="32"/>
      </c>
      <c r="CG10" s="55">
        <f t="shared" si="33"/>
      </c>
      <c r="CH10">
        <f t="shared" si="34"/>
        <v>61.83099905605112</v>
      </c>
      <c r="CI10">
        <f t="shared" si="35"/>
        <v>-300</v>
      </c>
    </row>
    <row r="11" spans="1:87" ht="13.5">
      <c r="A11" s="9">
        <v>-0.52</v>
      </c>
      <c r="B11" s="7">
        <f t="shared" si="61"/>
        <v>-50</v>
      </c>
      <c r="C11" s="7">
        <f t="shared" si="62"/>
        <v>-86</v>
      </c>
      <c r="D11" s="1">
        <f t="shared" si="63"/>
        <v>-271.008866477144</v>
      </c>
      <c r="E11">
        <f t="shared" si="36"/>
        <v>300</v>
      </c>
      <c r="F11">
        <f t="shared" si="64"/>
        <v>-156.49650042681031</v>
      </c>
      <c r="G11">
        <f t="shared" si="65"/>
        <v>100</v>
      </c>
      <c r="H11">
        <f t="shared" si="66"/>
        <v>100</v>
      </c>
      <c r="I11">
        <f t="shared" si="66"/>
        <v>1.515</v>
      </c>
      <c r="J11">
        <f t="shared" si="67"/>
        <v>-0.43718892656481917</v>
      </c>
      <c r="K11">
        <f t="shared" si="37"/>
        <v>-0.4861059145771927</v>
      </c>
      <c r="L11" s="7">
        <f t="shared" si="68"/>
        <v>-8.64559156744757</v>
      </c>
      <c r="M11" s="7">
        <f t="shared" si="69"/>
        <v>-1509.9839197536826</v>
      </c>
      <c r="N11" s="43">
        <f t="shared" si="70"/>
        <v>95.4307048839238</v>
      </c>
      <c r="O11" s="43">
        <f t="shared" si="71"/>
        <v>-340</v>
      </c>
      <c r="P11" s="43">
        <f t="shared" si="72"/>
        <v>85.60250437992735</v>
      </c>
      <c r="Q11" s="43">
        <f t="shared" si="73"/>
        <v>-340</v>
      </c>
      <c r="R11" s="2">
        <f t="shared" si="74"/>
        <v>-109.06851790563992</v>
      </c>
      <c r="S11">
        <f t="shared" si="75"/>
        <v>0</v>
      </c>
      <c r="T11">
        <f t="shared" si="76"/>
        <v>1.333</v>
      </c>
      <c r="U11">
        <f t="shared" si="77"/>
        <v>1.333</v>
      </c>
      <c r="V11">
        <f t="shared" si="0"/>
        <v>-0.49688013784373675</v>
      </c>
      <c r="W11" s="7">
        <f t="shared" si="1"/>
        <v>-0.5200000000000001</v>
      </c>
      <c r="X11">
        <f t="shared" si="38"/>
        <v>-0.5725618302516686</v>
      </c>
      <c r="Y11" s="10">
        <f t="shared" si="39"/>
        <v>-0.5200000000000001</v>
      </c>
      <c r="Z11">
        <f t="shared" si="78"/>
        <v>52.87183066586421</v>
      </c>
      <c r="AA11">
        <f t="shared" si="79"/>
        <v>-300</v>
      </c>
      <c r="AB11" s="7">
        <f t="shared" si="80"/>
        <v>1000</v>
      </c>
      <c r="AC11">
        <f t="shared" si="81"/>
        <v>-51</v>
      </c>
      <c r="AD11">
        <f t="shared" si="82"/>
        <v>1.375</v>
      </c>
      <c r="AE11">
        <f t="shared" si="83"/>
        <v>49.9999999999999</v>
      </c>
      <c r="AF11" s="10">
        <f t="shared" si="40"/>
        <v>1.3278270494611406</v>
      </c>
      <c r="AG11" s="10">
        <f t="shared" si="41"/>
        <v>-1109.06851790564</v>
      </c>
      <c r="AH11" s="10">
        <f t="shared" si="42"/>
        <v>1372.0206009731176</v>
      </c>
      <c r="AI11" s="10">
        <f t="shared" si="43"/>
        <v>1230133.9774094129</v>
      </c>
      <c r="AJ11" s="10">
        <f t="shared" si="44"/>
        <v>-4651180.149167118</v>
      </c>
      <c r="AK11">
        <f t="shared" si="2"/>
        <v>-300</v>
      </c>
      <c r="AL11">
        <f t="shared" si="3"/>
        <v>-300</v>
      </c>
      <c r="AM11" s="10">
        <f t="shared" si="4"/>
        <v>-59501.00000000001</v>
      </c>
      <c r="AN11" s="10">
        <f t="shared" si="5"/>
        <v>-59501.00000000001</v>
      </c>
      <c r="AO11" s="21">
        <f t="shared" si="6"/>
        <v>52.87183066586421</v>
      </c>
      <c r="AP11" s="22">
        <f t="shared" si="7"/>
        <v>52.87183066586421</v>
      </c>
      <c r="AQ11" s="22">
        <f t="shared" si="45"/>
        <v>52.87183066586421</v>
      </c>
      <c r="AR11" s="23">
        <f t="shared" si="46"/>
        <v>52.87183066586421</v>
      </c>
      <c r="AS11" s="21">
        <f t="shared" si="47"/>
      </c>
      <c r="AT11" s="27">
        <f t="shared" si="48"/>
      </c>
      <c r="AU11" s="27">
        <f t="shared" si="49"/>
      </c>
      <c r="AV11" s="23">
        <f t="shared" si="50"/>
      </c>
      <c r="AW11" s="30">
        <f t="shared" si="51"/>
        <v>-0.5725618302516686</v>
      </c>
      <c r="AX11" s="21">
        <f t="shared" si="52"/>
        <v>52.87183066586421</v>
      </c>
      <c r="AY11" s="33">
        <f t="shared" si="53"/>
      </c>
      <c r="AZ11" s="22">
        <f t="shared" si="54"/>
        <v>52.87183066586421</v>
      </c>
      <c r="BA11" s="34">
        <f t="shared" si="55"/>
      </c>
      <c r="BB11" s="21">
        <f t="shared" si="56"/>
        <v>52.87183066586421</v>
      </c>
      <c r="BC11" s="33">
        <f t="shared" si="8"/>
      </c>
      <c r="BD11" s="33"/>
      <c r="BE11" s="34">
        <f t="shared" si="9"/>
      </c>
      <c r="BF11" s="37">
        <f t="shared" si="10"/>
        <v>0</v>
      </c>
      <c r="BG11" s="37">
        <f t="shared" si="11"/>
        <v>0</v>
      </c>
      <c r="BH11" s="38">
        <f t="shared" si="12"/>
        <v>52.87183066586421</v>
      </c>
      <c r="BI11" s="38">
        <f t="shared" si="13"/>
        <v>-300</v>
      </c>
      <c r="BJ11" s="42">
        <f t="shared" si="57"/>
        <v>-109.06851790563992</v>
      </c>
      <c r="BK11" s="42">
        <f t="shared" si="58"/>
        <v>0</v>
      </c>
      <c r="BL11" s="43">
        <f t="shared" si="14"/>
        <v>52.87183066586421</v>
      </c>
      <c r="BM11" s="43">
        <f t="shared" si="15"/>
        <v>-300</v>
      </c>
      <c r="BN11" s="42">
        <f t="shared" si="59"/>
        <v>1000</v>
      </c>
      <c r="BO11" s="42">
        <f t="shared" si="60"/>
        <v>-51</v>
      </c>
      <c r="BP11" s="42">
        <f t="shared" si="16"/>
      </c>
      <c r="BQ11" s="42">
        <f t="shared" si="17"/>
      </c>
      <c r="BR11" s="42">
        <f t="shared" si="18"/>
      </c>
      <c r="BS11" s="42">
        <f t="shared" si="19"/>
      </c>
      <c r="BT11" s="42">
        <f t="shared" si="20"/>
      </c>
      <c r="BU11" s="42">
        <f t="shared" si="21"/>
      </c>
      <c r="BV11" s="42">
        <f t="shared" si="22"/>
      </c>
      <c r="BW11" s="42">
        <f t="shared" si="23"/>
      </c>
      <c r="BX11" s="42">
        <f t="shared" si="24"/>
      </c>
      <c r="BY11" s="45">
        <f t="shared" si="25"/>
        <v>52.87183066586421</v>
      </c>
      <c r="BZ11" s="46">
        <f t="shared" si="26"/>
        <v>-300</v>
      </c>
      <c r="CA11" s="54">
        <f t="shared" si="27"/>
      </c>
      <c r="CB11" s="54">
        <f t="shared" si="28"/>
      </c>
      <c r="CC11" s="54">
        <f t="shared" si="29"/>
      </c>
      <c r="CD11" s="54">
        <f t="shared" si="30"/>
      </c>
      <c r="CE11" s="54">
        <f t="shared" si="31"/>
      </c>
      <c r="CF11" s="55">
        <f t="shared" si="32"/>
      </c>
      <c r="CG11" s="55">
        <f t="shared" si="33"/>
      </c>
      <c r="CH11">
        <f t="shared" si="34"/>
        <v>52.87183066586421</v>
      </c>
      <c r="CI11">
        <f t="shared" si="35"/>
        <v>-300</v>
      </c>
    </row>
    <row r="12" spans="1:87" ht="13.5">
      <c r="A12" s="9">
        <v>-0.48</v>
      </c>
      <c r="B12" s="7">
        <f t="shared" si="61"/>
        <v>-50</v>
      </c>
      <c r="C12" s="7">
        <f t="shared" si="62"/>
        <v>-86</v>
      </c>
      <c r="D12" s="1">
        <f t="shared" si="63"/>
        <v>-250.9557858578256</v>
      </c>
      <c r="E12">
        <f t="shared" si="36"/>
        <v>300</v>
      </c>
      <c r="F12">
        <f t="shared" si="64"/>
        <v>-146.83361701957398</v>
      </c>
      <c r="G12">
        <f t="shared" si="65"/>
        <v>100</v>
      </c>
      <c r="H12">
        <f t="shared" si="66"/>
        <v>100</v>
      </c>
      <c r="I12">
        <f t="shared" si="66"/>
        <v>1.515</v>
      </c>
      <c r="J12">
        <f t="shared" si="67"/>
        <v>-0.4063047135292388</v>
      </c>
      <c r="K12">
        <f t="shared" si="37"/>
        <v>-0.44466233470465555</v>
      </c>
      <c r="L12" s="7">
        <f t="shared" si="68"/>
        <v>-7.594850948660248</v>
      </c>
      <c r="M12" s="7">
        <f t="shared" si="69"/>
        <v>-1458.8345658566632</v>
      </c>
      <c r="N12" s="43">
        <f t="shared" si="70"/>
        <v>82.23515442457952</v>
      </c>
      <c r="O12" s="43">
        <f t="shared" si="71"/>
        <v>-340</v>
      </c>
      <c r="P12" s="43">
        <f t="shared" si="72"/>
        <v>73.58956285713195</v>
      </c>
      <c r="Q12" s="43">
        <f t="shared" si="73"/>
        <v>-340</v>
      </c>
      <c r="R12" s="2">
        <f t="shared" si="74"/>
        <v>-103.41812416789575</v>
      </c>
      <c r="S12">
        <f t="shared" si="75"/>
        <v>0</v>
      </c>
      <c r="T12">
        <f t="shared" si="76"/>
        <v>1.333</v>
      </c>
      <c r="U12">
        <f t="shared" si="77"/>
        <v>1.333</v>
      </c>
      <c r="V12">
        <f t="shared" si="0"/>
        <v>-0.4617791755414829</v>
      </c>
      <c r="W12" s="7">
        <f t="shared" si="1"/>
        <v>-0.4800000000000001</v>
      </c>
      <c r="X12">
        <f t="shared" si="38"/>
        <v>-0.5206108441912581</v>
      </c>
      <c r="Y12" s="10">
        <f t="shared" si="39"/>
        <v>-0.4800000000000001</v>
      </c>
      <c r="Z12">
        <f t="shared" si="78"/>
        <v>44.11953752203411</v>
      </c>
      <c r="AA12">
        <f t="shared" si="79"/>
        <v>-300</v>
      </c>
      <c r="AB12" s="7">
        <f t="shared" si="80"/>
        <v>1000</v>
      </c>
      <c r="AC12">
        <f t="shared" si="81"/>
        <v>-51</v>
      </c>
      <c r="AD12">
        <f t="shared" si="82"/>
        <v>1.375</v>
      </c>
      <c r="AE12">
        <f t="shared" si="83"/>
        <v>49.9999999999999</v>
      </c>
      <c r="AF12" s="10">
        <f t="shared" si="40"/>
        <v>1.2710356510895344</v>
      </c>
      <c r="AG12" s="10">
        <f t="shared" si="41"/>
        <v>-1103.4181241678957</v>
      </c>
      <c r="AH12" s="10">
        <f t="shared" si="42"/>
        <v>1250.9028822379653</v>
      </c>
      <c r="AI12" s="10">
        <f t="shared" si="43"/>
        <v>1217632.5567421978</v>
      </c>
      <c r="AJ12" s="10">
        <f t="shared" si="44"/>
        <v>-4625859.537395287</v>
      </c>
      <c r="AK12">
        <f t="shared" si="2"/>
        <v>-300</v>
      </c>
      <c r="AL12">
        <f t="shared" si="3"/>
        <v>-300</v>
      </c>
      <c r="AM12" s="10">
        <f t="shared" si="4"/>
        <v>-59501.00000000001</v>
      </c>
      <c r="AN12" s="10">
        <f t="shared" si="5"/>
        <v>-59501.00000000001</v>
      </c>
      <c r="AO12" s="21">
        <f t="shared" si="6"/>
        <v>44.11953752203411</v>
      </c>
      <c r="AP12" s="22">
        <f t="shared" si="7"/>
        <v>44.11953752203411</v>
      </c>
      <c r="AQ12" s="22">
        <f t="shared" si="45"/>
        <v>44.11953752203411</v>
      </c>
      <c r="AR12" s="23">
        <f t="shared" si="46"/>
        <v>44.11953752203411</v>
      </c>
      <c r="AS12" s="21">
        <f t="shared" si="47"/>
      </c>
      <c r="AT12" s="27">
        <f t="shared" si="48"/>
      </c>
      <c r="AU12" s="27">
        <f t="shared" si="49"/>
      </c>
      <c r="AV12" s="23">
        <f t="shared" si="50"/>
      </c>
      <c r="AW12" s="30">
        <f t="shared" si="51"/>
        <v>-0.5206108441912581</v>
      </c>
      <c r="AX12" s="21">
        <f t="shared" si="52"/>
        <v>44.11953752203411</v>
      </c>
      <c r="AY12" s="33">
        <f t="shared" si="53"/>
      </c>
      <c r="AZ12" s="22">
        <f t="shared" si="54"/>
        <v>44.11953752203411</v>
      </c>
      <c r="BA12" s="34">
        <f t="shared" si="55"/>
      </c>
      <c r="BB12" s="21">
        <f t="shared" si="56"/>
        <v>44.11953752203411</v>
      </c>
      <c r="BC12" s="33">
        <f t="shared" si="8"/>
      </c>
      <c r="BD12" s="33"/>
      <c r="BE12" s="34">
        <f t="shared" si="9"/>
      </c>
      <c r="BF12" s="37">
        <f t="shared" si="10"/>
        <v>0</v>
      </c>
      <c r="BG12" s="37">
        <f t="shared" si="11"/>
        <v>0</v>
      </c>
      <c r="BH12" s="38">
        <f t="shared" si="12"/>
        <v>44.11953752203411</v>
      </c>
      <c r="BI12" s="38">
        <f t="shared" si="13"/>
        <v>-300</v>
      </c>
      <c r="BJ12" s="42">
        <f t="shared" si="57"/>
        <v>-103.41812416789575</v>
      </c>
      <c r="BK12" s="42">
        <f t="shared" si="58"/>
        <v>0</v>
      </c>
      <c r="BL12" s="43">
        <f t="shared" si="14"/>
        <v>44.11953752203411</v>
      </c>
      <c r="BM12" s="43">
        <f t="shared" si="15"/>
        <v>-300</v>
      </c>
      <c r="BN12" s="42">
        <f t="shared" si="59"/>
        <v>1000</v>
      </c>
      <c r="BO12" s="42">
        <f t="shared" si="60"/>
        <v>-51</v>
      </c>
      <c r="BP12" s="42">
        <f t="shared" si="16"/>
      </c>
      <c r="BQ12" s="42">
        <f t="shared" si="17"/>
      </c>
      <c r="BR12" s="42">
        <f t="shared" si="18"/>
      </c>
      <c r="BS12" s="42">
        <f t="shared" si="19"/>
      </c>
      <c r="BT12" s="42">
        <f t="shared" si="20"/>
      </c>
      <c r="BU12" s="42">
        <f t="shared" si="21"/>
      </c>
      <c r="BV12" s="42">
        <f t="shared" si="22"/>
      </c>
      <c r="BW12" s="42">
        <f t="shared" si="23"/>
      </c>
      <c r="BX12" s="42">
        <f t="shared" si="24"/>
      </c>
      <c r="BY12" s="45">
        <f t="shared" si="25"/>
        <v>44.11953752203411</v>
      </c>
      <c r="BZ12" s="46">
        <f t="shared" si="26"/>
        <v>-300</v>
      </c>
      <c r="CA12" s="54">
        <f t="shared" si="27"/>
      </c>
      <c r="CB12" s="54">
        <f t="shared" si="28"/>
      </c>
      <c r="CC12" s="54">
        <f t="shared" si="29"/>
      </c>
      <c r="CD12" s="54">
        <f t="shared" si="30"/>
      </c>
      <c r="CE12" s="54">
        <f t="shared" si="31"/>
      </c>
      <c r="CF12" s="55">
        <f t="shared" si="32"/>
      </c>
      <c r="CG12" s="55">
        <f t="shared" si="33"/>
      </c>
      <c r="CH12">
        <f t="shared" si="34"/>
        <v>44.11953752203411</v>
      </c>
      <c r="CI12">
        <f t="shared" si="35"/>
        <v>-300</v>
      </c>
    </row>
    <row r="13" spans="1:87" ht="13.5">
      <c r="A13" s="9">
        <v>-0.44</v>
      </c>
      <c r="B13" s="7">
        <f t="shared" si="61"/>
        <v>-50</v>
      </c>
      <c r="C13" s="7">
        <f t="shared" si="62"/>
        <v>-86</v>
      </c>
      <c r="D13" s="1">
        <f t="shared" si="63"/>
        <v>-231.72128352916198</v>
      </c>
      <c r="E13">
        <f t="shared" si="36"/>
        <v>300</v>
      </c>
      <c r="F13">
        <f t="shared" si="64"/>
        <v>-137.56517807363764</v>
      </c>
      <c r="G13">
        <f t="shared" si="65"/>
        <v>100</v>
      </c>
      <c r="H13">
        <f t="shared" si="66"/>
        <v>100</v>
      </c>
      <c r="I13">
        <f t="shared" si="66"/>
        <v>1.515</v>
      </c>
      <c r="J13">
        <f t="shared" si="67"/>
        <v>-0.3747704996257277</v>
      </c>
      <c r="K13">
        <f t="shared" si="37"/>
        <v>-0.4042318832461406</v>
      </c>
      <c r="L13" s="7">
        <f t="shared" si="68"/>
        <v>-6.654864403148109</v>
      </c>
      <c r="M13" s="7">
        <f t="shared" si="69"/>
        <v>-1413.5810675159255</v>
      </c>
      <c r="N13" s="43">
        <f t="shared" si="70"/>
        <v>69.57825392851592</v>
      </c>
      <c r="O13" s="43">
        <f t="shared" si="71"/>
        <v>-340</v>
      </c>
      <c r="P13" s="43">
        <f t="shared" si="72"/>
        <v>61.98340297985567</v>
      </c>
      <c r="Q13" s="43">
        <f t="shared" si="73"/>
        <v>-340</v>
      </c>
      <c r="R13" s="2">
        <f t="shared" si="74"/>
        <v>-98.08197629453572</v>
      </c>
      <c r="S13">
        <f t="shared" si="75"/>
        <v>0</v>
      </c>
      <c r="T13">
        <f t="shared" si="76"/>
        <v>1.333</v>
      </c>
      <c r="U13">
        <f t="shared" si="77"/>
        <v>1.333</v>
      </c>
      <c r="V13">
        <f t="shared" si="0"/>
        <v>-0.4259394650659996</v>
      </c>
      <c r="W13" s="7">
        <f t="shared" si="1"/>
        <v>-0.44000000000000006</v>
      </c>
      <c r="X13">
        <f t="shared" si="38"/>
        <v>-0.47078052727762176</v>
      </c>
      <c r="Y13" s="10">
        <f t="shared" si="39"/>
        <v>-0.44000000000000006</v>
      </c>
      <c r="Z13">
        <f t="shared" si="78"/>
        <v>35.55733094009055</v>
      </c>
      <c r="AA13">
        <f t="shared" si="79"/>
        <v>-300</v>
      </c>
      <c r="AB13" s="7">
        <f t="shared" si="80"/>
        <v>1000</v>
      </c>
      <c r="AC13">
        <f t="shared" si="81"/>
        <v>-51</v>
      </c>
      <c r="AD13">
        <f t="shared" si="82"/>
        <v>1.375</v>
      </c>
      <c r="AE13">
        <f t="shared" si="83"/>
        <v>49.9999999999999</v>
      </c>
      <c r="AF13" s="10">
        <f t="shared" si="40"/>
        <v>1.2216343048637957</v>
      </c>
      <c r="AG13" s="10">
        <f t="shared" si="41"/>
        <v>-1098.0819762945357</v>
      </c>
      <c r="AH13" s="10">
        <f t="shared" si="42"/>
        <v>1135.911223587989</v>
      </c>
      <c r="AI13" s="10">
        <f t="shared" si="43"/>
        <v>1205885.0266629134</v>
      </c>
      <c r="AJ13" s="10">
        <f t="shared" si="44"/>
        <v>-4602307.757298869</v>
      </c>
      <c r="AK13">
        <f t="shared" si="2"/>
        <v>-300</v>
      </c>
      <c r="AL13">
        <f t="shared" si="3"/>
        <v>-300</v>
      </c>
      <c r="AM13" s="10">
        <f t="shared" si="4"/>
        <v>-59501.00000000001</v>
      </c>
      <c r="AN13" s="10">
        <f t="shared" si="5"/>
        <v>-59501.00000000001</v>
      </c>
      <c r="AO13" s="21">
        <f t="shared" si="6"/>
        <v>35.55733094009055</v>
      </c>
      <c r="AP13" s="22">
        <f t="shared" si="7"/>
        <v>35.55733094009055</v>
      </c>
      <c r="AQ13" s="22">
        <f t="shared" si="45"/>
        <v>35.55733094009055</v>
      </c>
      <c r="AR13" s="23">
        <f t="shared" si="46"/>
        <v>35.55733094009055</v>
      </c>
      <c r="AS13" s="21">
        <f t="shared" si="47"/>
      </c>
      <c r="AT13" s="27">
        <f t="shared" si="48"/>
      </c>
      <c r="AU13" s="27">
        <f t="shared" si="49"/>
      </c>
      <c r="AV13" s="23">
        <f t="shared" si="50"/>
      </c>
      <c r="AW13" s="30">
        <f t="shared" si="51"/>
        <v>-0.47078052727762176</v>
      </c>
      <c r="AX13" s="21">
        <f t="shared" si="52"/>
        <v>35.55733094009055</v>
      </c>
      <c r="AY13" s="33">
        <f t="shared" si="53"/>
      </c>
      <c r="AZ13" s="22">
        <f t="shared" si="54"/>
        <v>35.55733094009055</v>
      </c>
      <c r="BA13" s="34">
        <f t="shared" si="55"/>
      </c>
      <c r="BB13" s="21">
        <f t="shared" si="56"/>
        <v>35.55733094009055</v>
      </c>
      <c r="BC13" s="33">
        <f t="shared" si="8"/>
      </c>
      <c r="BD13" s="33"/>
      <c r="BE13" s="34">
        <f t="shared" si="9"/>
      </c>
      <c r="BF13" s="37">
        <f t="shared" si="10"/>
        <v>0</v>
      </c>
      <c r="BG13" s="37">
        <f t="shared" si="11"/>
        <v>0</v>
      </c>
      <c r="BH13" s="38">
        <f t="shared" si="12"/>
        <v>35.55733094009055</v>
      </c>
      <c r="BI13" s="38">
        <f t="shared" si="13"/>
        <v>-300</v>
      </c>
      <c r="BJ13" s="42">
        <f t="shared" si="57"/>
        <v>-98.08197629453572</v>
      </c>
      <c r="BK13" s="42">
        <f t="shared" si="58"/>
        <v>0</v>
      </c>
      <c r="BL13" s="43">
        <f t="shared" si="14"/>
        <v>35.55733094009055</v>
      </c>
      <c r="BM13" s="43">
        <f t="shared" si="15"/>
        <v>-300</v>
      </c>
      <c r="BN13" s="42">
        <f t="shared" si="59"/>
        <v>1000</v>
      </c>
      <c r="BO13" s="42">
        <f t="shared" si="60"/>
        <v>-51</v>
      </c>
      <c r="BP13" s="42">
        <f t="shared" si="16"/>
      </c>
      <c r="BQ13" s="42">
        <f t="shared" si="17"/>
      </c>
      <c r="BR13" s="42">
        <f t="shared" si="18"/>
      </c>
      <c r="BS13" s="42">
        <f t="shared" si="19"/>
      </c>
      <c r="BT13" s="42">
        <f t="shared" si="20"/>
      </c>
      <c r="BU13" s="42">
        <f t="shared" si="21"/>
      </c>
      <c r="BV13" s="42">
        <f t="shared" si="22"/>
      </c>
      <c r="BW13" s="42">
        <f t="shared" si="23"/>
      </c>
      <c r="BX13" s="42">
        <f t="shared" si="24"/>
      </c>
      <c r="BY13" s="45">
        <f t="shared" si="25"/>
        <v>35.55733094009055</v>
      </c>
      <c r="BZ13" s="46">
        <f t="shared" si="26"/>
        <v>-300</v>
      </c>
      <c r="CA13" s="54">
        <f t="shared" si="27"/>
      </c>
      <c r="CB13" s="54">
        <f t="shared" si="28"/>
      </c>
      <c r="CC13" s="54">
        <f t="shared" si="29"/>
      </c>
      <c r="CD13" s="54">
        <f t="shared" si="30"/>
      </c>
      <c r="CE13" s="54">
        <f t="shared" si="31"/>
      </c>
      <c r="CF13" s="55">
        <f t="shared" si="32"/>
      </c>
      <c r="CG13" s="55">
        <f t="shared" si="33"/>
      </c>
      <c r="CH13">
        <f t="shared" si="34"/>
        <v>35.55733094009055</v>
      </c>
      <c r="CI13">
        <f t="shared" si="35"/>
        <v>-300</v>
      </c>
    </row>
    <row r="14" spans="1:87" ht="13.5">
      <c r="A14" s="9">
        <v>-0.4</v>
      </c>
      <c r="B14" s="7">
        <f t="shared" si="61"/>
        <v>-50</v>
      </c>
      <c r="C14" s="7">
        <f t="shared" si="62"/>
        <v>-86</v>
      </c>
      <c r="D14" s="1">
        <f t="shared" si="63"/>
        <v>-213.19818243293045</v>
      </c>
      <c r="E14">
        <f t="shared" si="36"/>
        <v>300</v>
      </c>
      <c r="F14">
        <f t="shared" si="64"/>
        <v>-128.63953868529808</v>
      </c>
      <c r="G14">
        <f t="shared" si="65"/>
        <v>100</v>
      </c>
      <c r="H14">
        <f t="shared" si="66"/>
        <v>100</v>
      </c>
      <c r="I14">
        <f t="shared" si="66"/>
        <v>1.515</v>
      </c>
      <c r="J14">
        <f t="shared" si="67"/>
        <v>-0.34263673286959156</v>
      </c>
      <c r="K14">
        <f t="shared" si="37"/>
        <v>-0.3647135860934144</v>
      </c>
      <c r="L14" s="7">
        <f t="shared" si="68"/>
        <v>-5.807963264474736</v>
      </c>
      <c r="M14" s="7">
        <f t="shared" si="69"/>
        <v>-1373.7124927899188</v>
      </c>
      <c r="N14" s="43">
        <f t="shared" si="70"/>
        <v>57.38947755949309</v>
      </c>
      <c r="O14" s="43">
        <f t="shared" si="71"/>
        <v>-340</v>
      </c>
      <c r="P14" s="43">
        <f t="shared" si="72"/>
        <v>50.73461315634498</v>
      </c>
      <c r="Q14" s="43">
        <f t="shared" si="73"/>
        <v>-340</v>
      </c>
      <c r="R14" s="2">
        <f t="shared" si="74"/>
        <v>-93.01508121463002</v>
      </c>
      <c r="S14">
        <f t="shared" si="75"/>
        <v>0</v>
      </c>
      <c r="T14">
        <f t="shared" si="76"/>
        <v>1.333</v>
      </c>
      <c r="U14">
        <f t="shared" si="77"/>
        <v>1.333</v>
      </c>
      <c r="V14">
        <f t="shared" si="0"/>
        <v>-0.3894183423086506</v>
      </c>
      <c r="W14" s="7">
        <f t="shared" si="1"/>
        <v>-0.40000000000000013</v>
      </c>
      <c r="X14">
        <f t="shared" si="38"/>
        <v>-0.42279321873816195</v>
      </c>
      <c r="Y14" s="10">
        <f t="shared" si="39"/>
        <v>-0.40000000000000013</v>
      </c>
      <c r="Z14">
        <f t="shared" si="78"/>
        <v>27.168020003670463</v>
      </c>
      <c r="AA14">
        <f t="shared" si="79"/>
        <v>-300</v>
      </c>
      <c r="AB14" s="7">
        <f t="shared" si="80"/>
        <v>1000</v>
      </c>
      <c r="AC14">
        <f t="shared" si="81"/>
        <v>-51</v>
      </c>
      <c r="AD14">
        <f t="shared" si="82"/>
        <v>1.375</v>
      </c>
      <c r="AE14">
        <f t="shared" si="83"/>
        <v>49.9999999999999</v>
      </c>
      <c r="AF14" s="10">
        <f t="shared" si="40"/>
        <v>1.1787541058109752</v>
      </c>
      <c r="AG14" s="10">
        <f t="shared" si="41"/>
        <v>-1093.01508121463</v>
      </c>
      <c r="AH14" s="10">
        <f t="shared" si="42"/>
        <v>1026.238728632174</v>
      </c>
      <c r="AI14" s="10">
        <f t="shared" si="43"/>
        <v>1194782.9677626244</v>
      </c>
      <c r="AJ14" s="10">
        <f t="shared" si="44"/>
        <v>-4580255.387068281</v>
      </c>
      <c r="AK14">
        <f t="shared" si="2"/>
        <v>-300</v>
      </c>
      <c r="AL14">
        <f t="shared" si="3"/>
        <v>-300</v>
      </c>
      <c r="AM14" s="10">
        <f t="shared" si="4"/>
        <v>-59501.00000000001</v>
      </c>
      <c r="AN14" s="10">
        <f t="shared" si="5"/>
        <v>-59501.00000000001</v>
      </c>
      <c r="AO14" s="21">
        <f t="shared" si="6"/>
        <v>27.168020003670463</v>
      </c>
      <c r="AP14" s="22">
        <f t="shared" si="7"/>
        <v>27.168020003670463</v>
      </c>
      <c r="AQ14" s="22">
        <f t="shared" si="45"/>
        <v>27.168020003670463</v>
      </c>
      <c r="AR14" s="23">
        <f t="shared" si="46"/>
        <v>27.168020003670463</v>
      </c>
      <c r="AS14" s="21">
        <f t="shared" si="47"/>
      </c>
      <c r="AT14" s="27">
        <f t="shared" si="48"/>
      </c>
      <c r="AU14" s="27">
        <f t="shared" si="49"/>
      </c>
      <c r="AV14" s="23">
        <f t="shared" si="50"/>
      </c>
      <c r="AW14" s="30">
        <f t="shared" si="51"/>
        <v>-0.42279321873816195</v>
      </c>
      <c r="AX14" s="21">
        <f t="shared" si="52"/>
        <v>27.168020003670463</v>
      </c>
      <c r="AY14" s="33">
        <f t="shared" si="53"/>
      </c>
      <c r="AZ14" s="22">
        <f t="shared" si="54"/>
        <v>27.168020003670463</v>
      </c>
      <c r="BA14" s="34">
        <f t="shared" si="55"/>
      </c>
      <c r="BB14" s="21">
        <f t="shared" si="56"/>
        <v>27.168020003670463</v>
      </c>
      <c r="BC14" s="33">
        <f t="shared" si="8"/>
      </c>
      <c r="BD14" s="33"/>
      <c r="BE14" s="34">
        <f t="shared" si="9"/>
      </c>
      <c r="BF14" s="37">
        <f t="shared" si="10"/>
        <v>0</v>
      </c>
      <c r="BG14" s="37">
        <f t="shared" si="11"/>
        <v>0</v>
      </c>
      <c r="BH14" s="38">
        <f t="shared" si="12"/>
        <v>27.168020003670463</v>
      </c>
      <c r="BI14" s="38">
        <f t="shared" si="13"/>
        <v>-300</v>
      </c>
      <c r="BJ14" s="42">
        <f t="shared" si="57"/>
        <v>-93.01508121463002</v>
      </c>
      <c r="BK14" s="42">
        <f t="shared" si="58"/>
        <v>0</v>
      </c>
      <c r="BL14" s="43">
        <f t="shared" si="14"/>
        <v>27.168020003670463</v>
      </c>
      <c r="BM14" s="43">
        <f t="shared" si="15"/>
        <v>-300</v>
      </c>
      <c r="BN14" s="42">
        <f t="shared" si="59"/>
        <v>1000</v>
      </c>
      <c r="BO14" s="42">
        <f t="shared" si="60"/>
        <v>-51</v>
      </c>
      <c r="BP14" s="42">
        <f t="shared" si="16"/>
      </c>
      <c r="BQ14" s="42">
        <f t="shared" si="17"/>
      </c>
      <c r="BR14" s="42">
        <f t="shared" si="18"/>
      </c>
      <c r="BS14" s="42">
        <f t="shared" si="19"/>
      </c>
      <c r="BT14" s="42">
        <f t="shared" si="20"/>
      </c>
      <c r="BU14" s="42">
        <f t="shared" si="21"/>
      </c>
      <c r="BV14" s="42">
        <f t="shared" si="22"/>
      </c>
      <c r="BW14" s="42">
        <f t="shared" si="23"/>
      </c>
      <c r="BX14" s="42">
        <f t="shared" si="24"/>
      </c>
      <c r="BY14" s="45">
        <f t="shared" si="25"/>
        <v>27.168020003670463</v>
      </c>
      <c r="BZ14" s="46">
        <f t="shared" si="26"/>
        <v>-300</v>
      </c>
      <c r="CA14" s="54">
        <f t="shared" si="27"/>
      </c>
      <c r="CB14" s="54">
        <f t="shared" si="28"/>
      </c>
      <c r="CC14" s="54">
        <f t="shared" si="29"/>
      </c>
      <c r="CD14" s="54">
        <f t="shared" si="30"/>
      </c>
      <c r="CE14" s="54">
        <f t="shared" si="31"/>
      </c>
      <c r="CF14" s="55">
        <f t="shared" si="32"/>
      </c>
      <c r="CG14" s="55">
        <f t="shared" si="33"/>
      </c>
      <c r="CH14">
        <f t="shared" si="34"/>
        <v>27.168020003670463</v>
      </c>
      <c r="CI14">
        <f t="shared" si="35"/>
        <v>-300</v>
      </c>
    </row>
    <row r="15" spans="1:87" ht="13.5">
      <c r="A15" s="9">
        <v>-0.36</v>
      </c>
      <c r="B15" s="7">
        <f t="shared" si="61"/>
        <v>-50</v>
      </c>
      <c r="C15" s="7">
        <f t="shared" si="62"/>
        <v>-86</v>
      </c>
      <c r="D15" s="1">
        <f t="shared" si="63"/>
        <v>-195.2915007338224</v>
      </c>
      <c r="E15">
        <f t="shared" si="36"/>
        <v>300</v>
      </c>
      <c r="F15">
        <f t="shared" si="64"/>
        <v>-120.01093040541701</v>
      </c>
      <c r="G15">
        <f t="shared" si="65"/>
        <v>100</v>
      </c>
      <c r="H15">
        <f t="shared" si="66"/>
        <v>100</v>
      </c>
      <c r="I15">
        <f t="shared" si="66"/>
        <v>1.515</v>
      </c>
      <c r="J15">
        <f t="shared" si="67"/>
        <v>-0.3099548204328019</v>
      </c>
      <c r="K15">
        <f t="shared" si="37"/>
        <v>-0.32601041381343787</v>
      </c>
      <c r="L15" s="7">
        <f t="shared" si="68"/>
        <v>-5.03924378285891</v>
      </c>
      <c r="M15" s="7">
        <f t="shared" si="69"/>
        <v>-1338.7900120510822</v>
      </c>
      <c r="N15" s="43">
        <f t="shared" si="70"/>
        <v>45.606324317074865</v>
      </c>
      <c r="O15" s="43">
        <f t="shared" si="71"/>
        <v>-340</v>
      </c>
      <c r="P15" s="43">
        <f t="shared" si="72"/>
        <v>39.79836105260013</v>
      </c>
      <c r="Q15" s="43">
        <f t="shared" si="73"/>
        <v>-340</v>
      </c>
      <c r="R15" s="2">
        <f t="shared" si="74"/>
        <v>-88.17860850568906</v>
      </c>
      <c r="S15">
        <f t="shared" si="75"/>
        <v>0</v>
      </c>
      <c r="T15">
        <f t="shared" si="76"/>
        <v>1.333</v>
      </c>
      <c r="U15">
        <f t="shared" si="77"/>
        <v>1.333</v>
      </c>
      <c r="V15">
        <f t="shared" si="0"/>
        <v>-0.35227423327508994</v>
      </c>
      <c r="W15" s="7">
        <f t="shared" si="1"/>
        <v>-0.36</v>
      </c>
      <c r="X15">
        <f t="shared" si="38"/>
        <v>-0.37640285164202697</v>
      </c>
      <c r="Y15" s="10">
        <f t="shared" si="39"/>
        <v>-0.36</v>
      </c>
      <c r="Z15">
        <f t="shared" si="78"/>
        <v>18.934283722444306</v>
      </c>
      <c r="AA15">
        <f t="shared" si="79"/>
        <v>-300</v>
      </c>
      <c r="AB15" s="7">
        <f t="shared" si="80"/>
        <v>1000</v>
      </c>
      <c r="AC15">
        <f t="shared" si="81"/>
        <v>-51</v>
      </c>
      <c r="AD15">
        <f t="shared" si="82"/>
        <v>1.375</v>
      </c>
      <c r="AE15">
        <f t="shared" si="83"/>
        <v>49.9999999999999</v>
      </c>
      <c r="AF15" s="10">
        <f t="shared" si="40"/>
        <v>1.1416791067242498</v>
      </c>
      <c r="AG15" s="10">
        <f t="shared" si="41"/>
        <v>-1088.178608505689</v>
      </c>
      <c r="AH15" s="10">
        <f t="shared" si="42"/>
        <v>921.1870626747884</v>
      </c>
      <c r="AI15" s="10">
        <f t="shared" si="43"/>
        <v>1184233.6840093776</v>
      </c>
      <c r="AJ15" s="10">
        <f t="shared" si="44"/>
        <v>-4559473.81361097</v>
      </c>
      <c r="AK15">
        <f t="shared" si="2"/>
        <v>-300</v>
      </c>
      <c r="AL15">
        <f t="shared" si="3"/>
        <v>-300</v>
      </c>
      <c r="AM15" s="10">
        <f t="shared" si="4"/>
        <v>-59501.00000000001</v>
      </c>
      <c r="AN15" s="10">
        <f t="shared" si="5"/>
        <v>-59501.00000000001</v>
      </c>
      <c r="AO15" s="21">
        <f t="shared" si="6"/>
        <v>18.934283722444306</v>
      </c>
      <c r="AP15" s="22">
        <f t="shared" si="7"/>
        <v>18.934283722444306</v>
      </c>
      <c r="AQ15" s="22">
        <f t="shared" si="45"/>
        <v>18.934283722444306</v>
      </c>
      <c r="AR15" s="23">
        <f t="shared" si="46"/>
        <v>18.934283722444306</v>
      </c>
      <c r="AS15" s="21">
        <f t="shared" si="47"/>
      </c>
      <c r="AT15" s="27">
        <f t="shared" si="48"/>
      </c>
      <c r="AU15" s="27">
        <f t="shared" si="49"/>
      </c>
      <c r="AV15" s="23">
        <f t="shared" si="50"/>
      </c>
      <c r="AW15" s="30">
        <f t="shared" si="51"/>
        <v>-0.37640285164202697</v>
      </c>
      <c r="AX15" s="21">
        <f t="shared" si="52"/>
        <v>18.934283722444306</v>
      </c>
      <c r="AY15" s="33">
        <f t="shared" si="53"/>
      </c>
      <c r="AZ15" s="22">
        <f t="shared" si="54"/>
        <v>18.934283722444306</v>
      </c>
      <c r="BA15" s="34">
        <f t="shared" si="55"/>
      </c>
      <c r="BB15" s="21">
        <f t="shared" si="56"/>
        <v>18.934283722444306</v>
      </c>
      <c r="BC15" s="33">
        <f t="shared" si="8"/>
      </c>
      <c r="BD15" s="33"/>
      <c r="BE15" s="34">
        <f t="shared" si="9"/>
      </c>
      <c r="BF15" s="37">
        <f t="shared" si="10"/>
        <v>0</v>
      </c>
      <c r="BG15" s="37">
        <f t="shared" si="11"/>
        <v>0</v>
      </c>
      <c r="BH15" s="38">
        <f t="shared" si="12"/>
        <v>18.934283722444306</v>
      </c>
      <c r="BI15" s="38">
        <f t="shared" si="13"/>
        <v>-300</v>
      </c>
      <c r="BJ15" s="42">
        <f t="shared" si="57"/>
        <v>-88.17860850568906</v>
      </c>
      <c r="BK15" s="42">
        <f t="shared" si="58"/>
        <v>0</v>
      </c>
      <c r="BL15" s="43">
        <f t="shared" si="14"/>
        <v>18.934283722444306</v>
      </c>
      <c r="BM15" s="43">
        <f t="shared" si="15"/>
        <v>-300</v>
      </c>
      <c r="BN15" s="42">
        <f t="shared" si="59"/>
        <v>1000</v>
      </c>
      <c r="BO15" s="42">
        <f t="shared" si="60"/>
        <v>-51</v>
      </c>
      <c r="BP15" s="42">
        <f t="shared" si="16"/>
      </c>
      <c r="BQ15" s="42">
        <f t="shared" si="17"/>
      </c>
      <c r="BR15" s="42">
        <f t="shared" si="18"/>
      </c>
      <c r="BS15" s="42">
        <f t="shared" si="19"/>
      </c>
      <c r="BT15" s="42">
        <f t="shared" si="20"/>
      </c>
      <c r="BU15" s="42">
        <f t="shared" si="21"/>
      </c>
      <c r="BV15" s="42">
        <f t="shared" si="22"/>
      </c>
      <c r="BW15" s="42">
        <f t="shared" si="23"/>
      </c>
      <c r="BX15" s="42">
        <f t="shared" si="24"/>
      </c>
      <c r="BY15" s="45">
        <f t="shared" si="25"/>
        <v>18.934283722444306</v>
      </c>
      <c r="BZ15" s="46">
        <f t="shared" si="26"/>
        <v>-300</v>
      </c>
      <c r="CA15" s="54">
        <f t="shared" si="27"/>
      </c>
      <c r="CB15" s="54">
        <f t="shared" si="28"/>
      </c>
      <c r="CC15" s="54">
        <f t="shared" si="29"/>
      </c>
      <c r="CD15" s="54">
        <f t="shared" si="30"/>
      </c>
      <c r="CE15" s="54">
        <f t="shared" si="31"/>
      </c>
      <c r="CF15" s="55">
        <f t="shared" si="32"/>
      </c>
      <c r="CG15" s="55">
        <f t="shared" si="33"/>
      </c>
      <c r="CH15">
        <f t="shared" si="34"/>
        <v>18.934283722444306</v>
      </c>
      <c r="CI15">
        <f t="shared" si="35"/>
        <v>-300</v>
      </c>
    </row>
    <row r="16" spans="1:87" ht="13.5">
      <c r="A16" s="9">
        <v>-0.32</v>
      </c>
      <c r="B16" s="7">
        <f t="shared" si="61"/>
        <v>-50</v>
      </c>
      <c r="C16" s="7">
        <f t="shared" si="62"/>
        <v>-86</v>
      </c>
      <c r="D16" s="1">
        <f t="shared" si="63"/>
        <v>-177.91631041655458</v>
      </c>
      <c r="E16">
        <f t="shared" si="36"/>
        <v>300</v>
      </c>
      <c r="F16">
        <f t="shared" si="64"/>
        <v>-111.63842937170764</v>
      </c>
      <c r="G16">
        <f t="shared" si="65"/>
        <v>100</v>
      </c>
      <c r="H16">
        <f t="shared" si="66"/>
        <v>100</v>
      </c>
      <c r="I16">
        <f t="shared" si="66"/>
        <v>1.515</v>
      </c>
      <c r="J16">
        <f t="shared" si="67"/>
        <v>-0.27677704640348844</v>
      </c>
      <c r="K16">
        <f t="shared" si="37"/>
        <v>-0.2880291459250229</v>
      </c>
      <c r="L16" s="7">
        <f t="shared" si="68"/>
        <v>-4.336025929921178</v>
      </c>
      <c r="M16" s="7">
        <f t="shared" si="69"/>
        <v>-1308.4383090000133</v>
      </c>
      <c r="N16" s="43">
        <f t="shared" si="70"/>
        <v>34.172908926955614</v>
      </c>
      <c r="O16" s="43">
        <f t="shared" si="71"/>
        <v>-340</v>
      </c>
      <c r="P16" s="43">
        <f t="shared" si="72"/>
        <v>29.133665144096703</v>
      </c>
      <c r="Q16" s="43">
        <f t="shared" si="73"/>
        <v>-340</v>
      </c>
      <c r="R16" s="2">
        <f t="shared" si="74"/>
        <v>-83.53873263214308</v>
      </c>
      <c r="S16">
        <f t="shared" si="75"/>
        <v>0</v>
      </c>
      <c r="T16">
        <f t="shared" si="76"/>
        <v>1.333</v>
      </c>
      <c r="U16">
        <f t="shared" si="77"/>
        <v>1.333</v>
      </c>
      <c r="V16">
        <f t="shared" si="0"/>
        <v>-0.31456656061611776</v>
      </c>
      <c r="W16" s="7">
        <f t="shared" si="1"/>
        <v>-0.32</v>
      </c>
      <c r="X16">
        <f t="shared" si="38"/>
        <v>-0.33138940522423466</v>
      </c>
      <c r="Y16" s="10">
        <f t="shared" si="39"/>
        <v>-0.32</v>
      </c>
      <c r="Z16">
        <f t="shared" si="78"/>
        <v>10.838845152268412</v>
      </c>
      <c r="AA16">
        <f t="shared" si="79"/>
        <v>-300</v>
      </c>
      <c r="AB16" s="7">
        <f t="shared" si="80"/>
        <v>1000</v>
      </c>
      <c r="AC16">
        <f t="shared" si="81"/>
        <v>-51</v>
      </c>
      <c r="AD16">
        <f t="shared" si="82"/>
        <v>1.375</v>
      </c>
      <c r="AE16">
        <f t="shared" si="83"/>
        <v>49.9999999999999</v>
      </c>
      <c r="AF16" s="10">
        <f t="shared" si="40"/>
        <v>1.109818937894872</v>
      </c>
      <c r="AG16" s="10">
        <f t="shared" si="41"/>
        <v>-1083.5387326321431</v>
      </c>
      <c r="AH16" s="10">
        <f t="shared" si="42"/>
        <v>820.1465122887739</v>
      </c>
      <c r="AI16" s="10">
        <f t="shared" si="43"/>
        <v>1174157.185114071</v>
      </c>
      <c r="AJ16" s="10">
        <f t="shared" si="44"/>
        <v>-4539767.218800283</v>
      </c>
      <c r="AK16">
        <f t="shared" si="2"/>
        <v>-300</v>
      </c>
      <c r="AL16">
        <f t="shared" si="3"/>
        <v>-300</v>
      </c>
      <c r="AM16" s="10">
        <f t="shared" si="4"/>
        <v>-59501.00000000001</v>
      </c>
      <c r="AN16" s="10">
        <f t="shared" si="5"/>
        <v>-59501.00000000001</v>
      </c>
      <c r="AO16" s="21">
        <f t="shared" si="6"/>
        <v>10.838845152268412</v>
      </c>
      <c r="AP16" s="22">
        <f t="shared" si="7"/>
        <v>10.838845152268412</v>
      </c>
      <c r="AQ16" s="22">
        <f t="shared" si="45"/>
        <v>10.838845152268412</v>
      </c>
      <c r="AR16" s="23">
        <f t="shared" si="46"/>
        <v>10.838845152268412</v>
      </c>
      <c r="AS16" s="21">
        <f t="shared" si="47"/>
      </c>
      <c r="AT16" s="27">
        <f t="shared" si="48"/>
      </c>
      <c r="AU16" s="27">
        <f t="shared" si="49"/>
      </c>
      <c r="AV16" s="23">
        <f t="shared" si="50"/>
      </c>
      <c r="AW16" s="30">
        <f t="shared" si="51"/>
        <v>-0.33138940522423466</v>
      </c>
      <c r="AX16" s="21">
        <f t="shared" si="52"/>
        <v>10.838845152268412</v>
      </c>
      <c r="AY16" s="33">
        <f t="shared" si="53"/>
      </c>
      <c r="AZ16" s="22">
        <f t="shared" si="54"/>
        <v>10.838845152268412</v>
      </c>
      <c r="BA16" s="34">
        <f t="shared" si="55"/>
      </c>
      <c r="BB16" s="21">
        <f t="shared" si="56"/>
        <v>10.838845152268412</v>
      </c>
      <c r="BC16" s="33">
        <f t="shared" si="8"/>
      </c>
      <c r="BD16" s="33"/>
      <c r="BE16" s="34">
        <f t="shared" si="9"/>
      </c>
      <c r="BF16" s="37">
        <f t="shared" si="10"/>
        <v>0</v>
      </c>
      <c r="BG16" s="37">
        <f t="shared" si="11"/>
        <v>0</v>
      </c>
      <c r="BH16" s="38">
        <f t="shared" si="12"/>
        <v>10.838845152268412</v>
      </c>
      <c r="BI16" s="38">
        <f t="shared" si="13"/>
        <v>-300</v>
      </c>
      <c r="BJ16" s="42">
        <f t="shared" si="57"/>
        <v>-83.53873263214308</v>
      </c>
      <c r="BK16" s="42">
        <f t="shared" si="58"/>
        <v>0</v>
      </c>
      <c r="BL16" s="43">
        <f t="shared" si="14"/>
        <v>10.838845152268412</v>
      </c>
      <c r="BM16" s="43">
        <f t="shared" si="15"/>
        <v>-300</v>
      </c>
      <c r="BN16" s="42">
        <f t="shared" si="59"/>
        <v>1000</v>
      </c>
      <c r="BO16" s="42">
        <f t="shared" si="60"/>
        <v>-51</v>
      </c>
      <c r="BP16" s="42">
        <f t="shared" si="16"/>
      </c>
      <c r="BQ16" s="42">
        <f t="shared" si="17"/>
      </c>
      <c r="BR16" s="42">
        <f t="shared" si="18"/>
      </c>
      <c r="BS16" s="42">
        <f t="shared" si="19"/>
      </c>
      <c r="BT16" s="42">
        <f t="shared" si="20"/>
      </c>
      <c r="BU16" s="42">
        <f t="shared" si="21"/>
      </c>
      <c r="BV16" s="42">
        <f t="shared" si="22"/>
      </c>
      <c r="BW16" s="42">
        <f t="shared" si="23"/>
      </c>
      <c r="BX16" s="42">
        <f t="shared" si="24"/>
      </c>
      <c r="BY16" s="45">
        <f t="shared" si="25"/>
        <v>10.838845152268412</v>
      </c>
      <c r="BZ16" s="46">
        <f t="shared" si="26"/>
        <v>-300</v>
      </c>
      <c r="CA16" s="54">
        <f t="shared" si="27"/>
      </c>
      <c r="CB16" s="54">
        <f t="shared" si="28"/>
      </c>
      <c r="CC16" s="54">
        <f t="shared" si="29"/>
      </c>
      <c r="CD16" s="54">
        <f t="shared" si="30"/>
      </c>
      <c r="CE16" s="54">
        <f t="shared" si="31"/>
      </c>
      <c r="CF16" s="55">
        <f t="shared" si="32"/>
      </c>
      <c r="CG16" s="55">
        <f t="shared" si="33"/>
      </c>
      <c r="CH16">
        <f t="shared" si="34"/>
        <v>10.838845152268412</v>
      </c>
      <c r="CI16">
        <f t="shared" si="35"/>
        <v>-300</v>
      </c>
    </row>
    <row r="17" spans="1:87" ht="13.5">
      <c r="A17" s="9">
        <v>-0.28</v>
      </c>
      <c r="B17" s="7">
        <f t="shared" si="61"/>
        <v>-50</v>
      </c>
      <c r="C17" s="7">
        <f t="shared" si="62"/>
        <v>-86</v>
      </c>
      <c r="D17" s="1">
        <f t="shared" si="63"/>
        <v>-160.99596973640308</v>
      </c>
      <c r="E17">
        <f t="shared" si="36"/>
        <v>300</v>
      </c>
      <c r="F17">
        <f t="shared" si="64"/>
        <v>-103.4851045880077</v>
      </c>
      <c r="G17">
        <f t="shared" si="65"/>
        <v>100</v>
      </c>
      <c r="H17">
        <f t="shared" si="66"/>
        <v>100</v>
      </c>
      <c r="I17">
        <f t="shared" si="66"/>
        <v>1.515</v>
      </c>
      <c r="J17">
        <f t="shared" si="67"/>
        <v>-0.24315648814255028</v>
      </c>
      <c r="K17">
        <f t="shared" si="37"/>
        <v>-0.25068013259967575</v>
      </c>
      <c r="L17" s="7">
        <f t="shared" si="68"/>
        <v>-3.6874193142301115</v>
      </c>
      <c r="M17" s="7">
        <f t="shared" si="69"/>
        <v>-1282.338321538185</v>
      </c>
      <c r="N17" s="43">
        <f t="shared" si="70"/>
        <v>23.038798738462106</v>
      </c>
      <c r="O17" s="43">
        <f t="shared" si="71"/>
        <v>-340</v>
      </c>
      <c r="P17" s="43">
        <f t="shared" si="72"/>
        <v>18.702772808540928</v>
      </c>
      <c r="Q17" s="43">
        <f t="shared" si="73"/>
        <v>-340</v>
      </c>
      <c r="R17" s="2">
        <f t="shared" si="74"/>
        <v>-79.0656979437312</v>
      </c>
      <c r="S17">
        <f t="shared" si="75"/>
        <v>0</v>
      </c>
      <c r="T17">
        <f t="shared" si="76"/>
        <v>1.333</v>
      </c>
      <c r="U17">
        <f t="shared" si="77"/>
        <v>1.333</v>
      </c>
      <c r="V17">
        <f t="shared" si="0"/>
        <v>-0.27635564856411376</v>
      </c>
      <c r="W17" s="7">
        <f t="shared" si="1"/>
        <v>-0.28</v>
      </c>
      <c r="X17">
        <f t="shared" si="38"/>
        <v>-0.28755432574197687</v>
      </c>
      <c r="Y17" s="10">
        <f t="shared" si="39"/>
        <v>-0.28</v>
      </c>
      <c r="Z17">
        <f t="shared" si="78"/>
        <v>2.864573848940694</v>
      </c>
      <c r="AA17">
        <f t="shared" si="79"/>
        <v>-300</v>
      </c>
      <c r="AB17" s="7">
        <f t="shared" si="80"/>
        <v>1000</v>
      </c>
      <c r="AC17">
        <f t="shared" si="81"/>
        <v>-51</v>
      </c>
      <c r="AD17">
        <f t="shared" si="82"/>
        <v>1.375</v>
      </c>
      <c r="AE17">
        <f t="shared" si="83"/>
        <v>49.9999999999999</v>
      </c>
      <c r="AF17" s="10">
        <f t="shared" si="40"/>
        <v>1.0826874902529229</v>
      </c>
      <c r="AG17" s="10">
        <f t="shared" si="41"/>
        <v>-1079.0656979437313</v>
      </c>
      <c r="AH17" s="10">
        <f t="shared" si="42"/>
        <v>722.5800184070106</v>
      </c>
      <c r="AI17" s="10">
        <f t="shared" si="43"/>
        <v>1164483.7804787918</v>
      </c>
      <c r="AJ17" s="10">
        <f t="shared" si="44"/>
        <v>-4520966.203906199</v>
      </c>
      <c r="AK17">
        <f t="shared" si="2"/>
        <v>-300</v>
      </c>
      <c r="AL17">
        <f t="shared" si="3"/>
        <v>-300</v>
      </c>
      <c r="AM17" s="10">
        <f t="shared" si="4"/>
        <v>-59501.00000000001</v>
      </c>
      <c r="AN17" s="10">
        <f t="shared" si="5"/>
        <v>-59501.00000000001</v>
      </c>
      <c r="AO17" s="21">
        <f t="shared" si="6"/>
        <v>2.864573848940694</v>
      </c>
      <c r="AP17" s="22">
        <f t="shared" si="7"/>
        <v>2.864573848940694</v>
      </c>
      <c r="AQ17" s="22">
        <f t="shared" si="45"/>
        <v>2.864573848940694</v>
      </c>
      <c r="AR17" s="23">
        <f t="shared" si="46"/>
        <v>2.864573848940694</v>
      </c>
      <c r="AS17" s="21">
        <f t="shared" si="47"/>
      </c>
      <c r="AT17" s="27">
        <f t="shared" si="48"/>
      </c>
      <c r="AU17" s="27">
        <f t="shared" si="49"/>
      </c>
      <c r="AV17" s="23">
        <f t="shared" si="50"/>
      </c>
      <c r="AW17" s="30">
        <f t="shared" si="51"/>
        <v>-0.28755432574197687</v>
      </c>
      <c r="AX17" s="21">
        <f t="shared" si="52"/>
        <v>2.864573848940694</v>
      </c>
      <c r="AY17" s="33">
        <f t="shared" si="53"/>
      </c>
      <c r="AZ17" s="22">
        <f t="shared" si="54"/>
        <v>2.864573848940694</v>
      </c>
      <c r="BA17" s="34">
        <f t="shared" si="55"/>
      </c>
      <c r="BB17" s="21">
        <f t="shared" si="56"/>
        <v>2.864573848940694</v>
      </c>
      <c r="BC17" s="33">
        <f t="shared" si="8"/>
      </c>
      <c r="BD17" s="33"/>
      <c r="BE17" s="34">
        <f t="shared" si="9"/>
      </c>
      <c r="BF17" s="37">
        <f t="shared" si="10"/>
        <v>0</v>
      </c>
      <c r="BG17" s="37">
        <f t="shared" si="11"/>
        <v>0</v>
      </c>
      <c r="BH17" s="38">
        <f t="shared" si="12"/>
        <v>2.864573848940694</v>
      </c>
      <c r="BI17" s="38">
        <f t="shared" si="13"/>
        <v>-300</v>
      </c>
      <c r="BJ17" s="42">
        <f t="shared" si="57"/>
        <v>-79.0656979437312</v>
      </c>
      <c r="BK17" s="42">
        <f t="shared" si="58"/>
        <v>0</v>
      </c>
      <c r="BL17" s="43">
        <f t="shared" si="14"/>
        <v>2.864573848940694</v>
      </c>
      <c r="BM17" s="43">
        <f t="shared" si="15"/>
        <v>-300</v>
      </c>
      <c r="BN17" s="42">
        <f t="shared" si="59"/>
        <v>1000</v>
      </c>
      <c r="BO17" s="42">
        <f t="shared" si="60"/>
        <v>-51</v>
      </c>
      <c r="BP17" s="42">
        <f t="shared" si="16"/>
      </c>
      <c r="BQ17" s="42">
        <f t="shared" si="17"/>
      </c>
      <c r="BR17" s="42">
        <f t="shared" si="18"/>
      </c>
      <c r="BS17" s="42">
        <f t="shared" si="19"/>
      </c>
      <c r="BT17" s="42">
        <f t="shared" si="20"/>
      </c>
      <c r="BU17" s="42">
        <f t="shared" si="21"/>
      </c>
      <c r="BV17" s="42">
        <f t="shared" si="22"/>
      </c>
      <c r="BW17" s="42">
        <f t="shared" si="23"/>
      </c>
      <c r="BX17" s="42">
        <f t="shared" si="24"/>
      </c>
      <c r="BY17" s="45">
        <f t="shared" si="25"/>
        <v>2.864573848940694</v>
      </c>
      <c r="BZ17" s="46">
        <f t="shared" si="26"/>
        <v>-300</v>
      </c>
      <c r="CA17" s="54">
        <f t="shared" si="27"/>
      </c>
      <c r="CB17" s="54">
        <f t="shared" si="28"/>
      </c>
      <c r="CC17" s="54">
        <f t="shared" si="29"/>
      </c>
      <c r="CD17" s="54">
        <f t="shared" si="30"/>
      </c>
      <c r="CE17" s="54">
        <f t="shared" si="31"/>
      </c>
      <c r="CF17" s="55">
        <f t="shared" si="32"/>
      </c>
      <c r="CG17" s="55">
        <f t="shared" si="33"/>
      </c>
      <c r="CH17">
        <f t="shared" si="34"/>
        <v>2.864573848940694</v>
      </c>
      <c r="CI17">
        <f t="shared" si="35"/>
        <v>-300</v>
      </c>
    </row>
    <row r="18" spans="1:87" ht="13.5">
      <c r="A18" s="9">
        <v>-0.24</v>
      </c>
      <c r="B18" s="7">
        <f t="shared" si="61"/>
        <v>-50</v>
      </c>
      <c r="C18" s="7">
        <f t="shared" si="62"/>
        <v>-86</v>
      </c>
      <c r="D18" s="1">
        <f t="shared" si="63"/>
        <v>-144.46064724778347</v>
      </c>
      <c r="E18">
        <f t="shared" si="36"/>
        <v>300</v>
      </c>
      <c r="F18">
        <f t="shared" si="64"/>
        <v>-95.51730670489049</v>
      </c>
      <c r="G18">
        <f t="shared" si="65"/>
        <v>100</v>
      </c>
      <c r="H18">
        <f t="shared" si="66"/>
        <v>100</v>
      </c>
      <c r="I18">
        <f t="shared" si="66"/>
        <v>1.515</v>
      </c>
      <c r="J18">
        <f t="shared" si="67"/>
        <v>-0.20914693137120158</v>
      </c>
      <c r="K18">
        <f t="shared" si="37"/>
        <v>-0.2138769862845012</v>
      </c>
      <c r="L18" s="7">
        <f t="shared" si="68"/>
        <v>-3.0839716429963775</v>
      </c>
      <c r="M18" s="7">
        <f t="shared" si="69"/>
        <v>-1260.22114910348</v>
      </c>
      <c r="N18" s="43">
        <f t="shared" si="70"/>
        <v>12.158042489474099</v>
      </c>
      <c r="O18" s="43">
        <f t="shared" si="71"/>
        <v>-340</v>
      </c>
      <c r="P18" s="43">
        <f t="shared" si="72"/>
        <v>8.470623175243986</v>
      </c>
      <c r="Q18" s="43">
        <f t="shared" si="73"/>
        <v>-340</v>
      </c>
      <c r="R18" s="2">
        <f t="shared" si="74"/>
        <v>-74.7330557476741</v>
      </c>
      <c r="S18">
        <f t="shared" si="75"/>
        <v>0</v>
      </c>
      <c r="T18">
        <f t="shared" si="76"/>
        <v>1.333</v>
      </c>
      <c r="U18">
        <f t="shared" si="77"/>
        <v>1.333</v>
      </c>
      <c r="V18">
        <f t="shared" si="0"/>
        <v>-0.23770262642713458</v>
      </c>
      <c r="W18" s="7">
        <f t="shared" si="1"/>
        <v>-0.24000000000000002</v>
      </c>
      <c r="X18">
        <f t="shared" si="38"/>
        <v>-0.244716702714465</v>
      </c>
      <c r="Y18" s="10">
        <f t="shared" si="39"/>
        <v>-0.24000000000000002</v>
      </c>
      <c r="Z18">
        <f t="shared" si="78"/>
        <v>-5.005464247564716</v>
      </c>
      <c r="AA18">
        <f t="shared" si="79"/>
        <v>-300</v>
      </c>
      <c r="AB18" s="7">
        <f t="shared" si="80"/>
        <v>1000</v>
      </c>
      <c r="AC18">
        <f t="shared" si="81"/>
        <v>-51</v>
      </c>
      <c r="AD18">
        <f t="shared" si="82"/>
        <v>1.375</v>
      </c>
      <c r="AE18">
        <f t="shared" si="83"/>
        <v>49.9999999999999</v>
      </c>
      <c r="AF18" s="10">
        <f t="shared" si="40"/>
        <v>1.0598862645874398</v>
      </c>
      <c r="AG18" s="10">
        <f t="shared" si="41"/>
        <v>-1074.7330557476741</v>
      </c>
      <c r="AH18" s="10">
        <f t="shared" si="42"/>
        <v>628.0102594016242</v>
      </c>
      <c r="AI18" s="10">
        <f t="shared" si="43"/>
        <v>1155152.1411167332</v>
      </c>
      <c r="AJ18" s="10">
        <f t="shared" si="44"/>
        <v>-4502922.665599895</v>
      </c>
      <c r="AK18">
        <f t="shared" si="2"/>
        <v>-300</v>
      </c>
      <c r="AL18">
        <f t="shared" si="3"/>
        <v>-300</v>
      </c>
      <c r="AM18" s="10">
        <f t="shared" si="4"/>
        <v>-59501.00000000001</v>
      </c>
      <c r="AN18" s="10">
        <f t="shared" si="5"/>
        <v>-59501.00000000001</v>
      </c>
      <c r="AO18" s="21">
        <f t="shared" si="6"/>
        <v>-5.005464247564716</v>
      </c>
      <c r="AP18" s="22">
        <f t="shared" si="7"/>
        <v>-5.005464247564716</v>
      </c>
      <c r="AQ18" s="22">
        <f t="shared" si="45"/>
        <v>-5.005464247564716</v>
      </c>
      <c r="AR18" s="23">
        <f t="shared" si="46"/>
        <v>-5.005464247564716</v>
      </c>
      <c r="AS18" s="21">
        <f t="shared" si="47"/>
      </c>
      <c r="AT18" s="27">
        <f t="shared" si="48"/>
      </c>
      <c r="AU18" s="27">
        <f t="shared" si="49"/>
      </c>
      <c r="AV18" s="23">
        <f t="shared" si="50"/>
      </c>
      <c r="AW18" s="30">
        <f t="shared" si="51"/>
        <v>-0.244716702714465</v>
      </c>
      <c r="AX18" s="21">
        <f t="shared" si="52"/>
        <v>-5.005464247564716</v>
      </c>
      <c r="AY18" s="33">
        <f t="shared" si="53"/>
      </c>
      <c r="AZ18" s="22">
        <f t="shared" si="54"/>
        <v>-5.005464247564716</v>
      </c>
      <c r="BA18" s="34">
        <f t="shared" si="55"/>
      </c>
      <c r="BB18" s="21">
        <f t="shared" si="56"/>
        <v>-5.005464247564716</v>
      </c>
      <c r="BC18" s="33">
        <f t="shared" si="8"/>
      </c>
      <c r="BD18" s="33"/>
      <c r="BE18" s="34">
        <f t="shared" si="9"/>
      </c>
      <c r="BF18" s="37">
        <f t="shared" si="10"/>
        <v>0</v>
      </c>
      <c r="BG18" s="37">
        <f t="shared" si="11"/>
        <v>0</v>
      </c>
      <c r="BH18" s="38">
        <f t="shared" si="12"/>
        <v>-5.005464247564716</v>
      </c>
      <c r="BI18" s="38">
        <f t="shared" si="13"/>
        <v>-300</v>
      </c>
      <c r="BJ18" s="42">
        <f t="shared" si="57"/>
        <v>-74.7330557476741</v>
      </c>
      <c r="BK18" s="42">
        <f t="shared" si="58"/>
        <v>0</v>
      </c>
      <c r="BL18" s="43">
        <f t="shared" si="14"/>
        <v>-5.005464247564716</v>
      </c>
      <c r="BM18" s="43">
        <f t="shared" si="15"/>
        <v>-300</v>
      </c>
      <c r="BN18" s="42">
        <f t="shared" si="59"/>
        <v>1000</v>
      </c>
      <c r="BO18" s="42">
        <f t="shared" si="60"/>
        <v>-51</v>
      </c>
      <c r="BP18" s="42">
        <f t="shared" si="16"/>
      </c>
      <c r="BQ18" s="42">
        <f t="shared" si="17"/>
      </c>
      <c r="BR18" s="42">
        <f t="shared" si="18"/>
      </c>
      <c r="BS18" s="42">
        <f t="shared" si="19"/>
      </c>
      <c r="BT18" s="42">
        <f t="shared" si="20"/>
      </c>
      <c r="BU18" s="42">
        <f t="shared" si="21"/>
      </c>
      <c r="BV18" s="42">
        <f t="shared" si="22"/>
      </c>
      <c r="BW18" s="42">
        <f t="shared" si="23"/>
      </c>
      <c r="BX18" s="42">
        <f t="shared" si="24"/>
      </c>
      <c r="BY18" s="45">
        <f t="shared" si="25"/>
        <v>-5.005464247564716</v>
      </c>
      <c r="BZ18" s="46">
        <f t="shared" si="26"/>
        <v>-300</v>
      </c>
      <c r="CA18" s="54">
        <f t="shared" si="27"/>
      </c>
      <c r="CB18" s="54">
        <f t="shared" si="28"/>
      </c>
      <c r="CC18" s="54">
        <f t="shared" si="29"/>
      </c>
      <c r="CD18" s="54">
        <f t="shared" si="30"/>
      </c>
      <c r="CE18" s="54">
        <f t="shared" si="31"/>
      </c>
      <c r="CF18" s="55">
        <f t="shared" si="32"/>
      </c>
      <c r="CG18" s="55">
        <f t="shared" si="33"/>
      </c>
      <c r="CH18">
        <f t="shared" si="34"/>
        <v>-5.005464247564716</v>
      </c>
      <c r="CI18">
        <f t="shared" si="35"/>
        <v>-300</v>
      </c>
    </row>
    <row r="19" spans="1:87" ht="13.5">
      <c r="A19" s="9">
        <v>-0.199999999999999</v>
      </c>
      <c r="B19" s="7">
        <f t="shared" si="61"/>
        <v>-50</v>
      </c>
      <c r="C19" s="7">
        <f t="shared" si="62"/>
        <v>-86</v>
      </c>
      <c r="D19" s="1">
        <f t="shared" si="63"/>
        <v>-128.24607370634718</v>
      </c>
      <c r="E19">
        <f t="shared" si="36"/>
        <v>300</v>
      </c>
      <c r="F19">
        <f t="shared" si="64"/>
        <v>-87.70406660461289</v>
      </c>
      <c r="G19">
        <f t="shared" si="65"/>
        <v>100</v>
      </c>
      <c r="H19">
        <f t="shared" si="66"/>
        <v>100</v>
      </c>
      <c r="I19">
        <f t="shared" si="66"/>
        <v>1.515</v>
      </c>
      <c r="J19">
        <f t="shared" si="67"/>
        <v>-0.17480278412529066</v>
      </c>
      <c r="K19">
        <f t="shared" si="37"/>
        <v>-0.1775362265470803</v>
      </c>
      <c r="L19" s="7">
        <f t="shared" si="68"/>
        <v>-2.517380896159116</v>
      </c>
      <c r="M19" s="7">
        <f t="shared" si="69"/>
        <v>-1241.862984159671</v>
      </c>
      <c r="N19" s="43">
        <f t="shared" si="70"/>
        <v>1.488349019202559</v>
      </c>
      <c r="O19" s="43">
        <f t="shared" si="71"/>
        <v>-340</v>
      </c>
      <c r="P19" s="43">
        <f t="shared" si="72"/>
        <v>-1.5956226237938185</v>
      </c>
      <c r="Q19" s="43">
        <f t="shared" si="73"/>
        <v>-340</v>
      </c>
      <c r="R19" s="2">
        <f t="shared" si="74"/>
        <v>-70.51703469674212</v>
      </c>
      <c r="S19">
        <f t="shared" si="75"/>
        <v>0</v>
      </c>
      <c r="T19">
        <f t="shared" si="76"/>
        <v>1.333</v>
      </c>
      <c r="U19">
        <f t="shared" si="77"/>
        <v>1.333</v>
      </c>
      <c r="V19">
        <f t="shared" si="0"/>
        <v>-0.19866933079506024</v>
      </c>
      <c r="W19" s="7">
        <f t="shared" si="1"/>
        <v>-0.199999999999999</v>
      </c>
      <c r="X19">
        <f t="shared" si="38"/>
        <v>-0.20271003550867145</v>
      </c>
      <c r="Y19" s="10">
        <f t="shared" si="39"/>
        <v>-0.199999999999999</v>
      </c>
      <c r="Z19">
        <f t="shared" si="78"/>
        <v>-12.787995687137059</v>
      </c>
      <c r="AA19">
        <f t="shared" si="79"/>
        <v>-300</v>
      </c>
      <c r="AB19" s="7">
        <f t="shared" si="80"/>
        <v>1000</v>
      </c>
      <c r="AC19">
        <f t="shared" si="81"/>
        <v>-51</v>
      </c>
      <c r="AD19">
        <f t="shared" si="82"/>
        <v>1.375</v>
      </c>
      <c r="AE19">
        <f t="shared" si="83"/>
        <v>49.9999999999999</v>
      </c>
      <c r="AF19" s="10">
        <f t="shared" si="40"/>
        <v>1.041091358495927</v>
      </c>
      <c r="AG19" s="10">
        <f t="shared" si="41"/>
        <v>-1070.517034696742</v>
      </c>
      <c r="AH19" s="10">
        <f t="shared" si="42"/>
        <v>536.0090922320285</v>
      </c>
      <c r="AI19" s="10">
        <f t="shared" si="43"/>
        <v>1146107.7215759056</v>
      </c>
      <c r="AJ19" s="10">
        <f t="shared" si="44"/>
        <v>-4485505.632397122</v>
      </c>
      <c r="AK19">
        <f t="shared" si="2"/>
        <v>-300</v>
      </c>
      <c r="AL19">
        <f t="shared" si="3"/>
        <v>-300</v>
      </c>
      <c r="AM19" s="10">
        <f t="shared" si="4"/>
        <v>-59501.00000000001</v>
      </c>
      <c r="AN19" s="10">
        <f t="shared" si="5"/>
        <v>-59501.00000000001</v>
      </c>
      <c r="AO19" s="21">
        <f t="shared" si="6"/>
        <v>-12.787995687137059</v>
      </c>
      <c r="AP19" s="22">
        <f t="shared" si="7"/>
        <v>-12.787995687137059</v>
      </c>
      <c r="AQ19" s="22">
        <f t="shared" si="45"/>
        <v>-12.787995687137059</v>
      </c>
      <c r="AR19" s="23">
        <f t="shared" si="46"/>
        <v>-12.787995687137059</v>
      </c>
      <c r="AS19" s="21">
        <f t="shared" si="47"/>
      </c>
      <c r="AT19" s="27">
        <f t="shared" si="48"/>
      </c>
      <c r="AU19" s="27">
        <f t="shared" si="49"/>
      </c>
      <c r="AV19" s="23">
        <f t="shared" si="50"/>
      </c>
      <c r="AW19" s="30">
        <f t="shared" si="51"/>
        <v>-0.20271003550867145</v>
      </c>
      <c r="AX19" s="21">
        <f t="shared" si="52"/>
        <v>-12.787995687137059</v>
      </c>
      <c r="AY19" s="33">
        <f t="shared" si="53"/>
      </c>
      <c r="AZ19" s="22">
        <f t="shared" si="54"/>
        <v>-12.787995687137059</v>
      </c>
      <c r="BA19" s="34">
        <f t="shared" si="55"/>
      </c>
      <c r="BB19" s="21">
        <f t="shared" si="56"/>
        <v>-12.787995687137059</v>
      </c>
      <c r="BC19" s="33">
        <f t="shared" si="8"/>
      </c>
      <c r="BD19" s="33"/>
      <c r="BE19" s="34">
        <f t="shared" si="9"/>
      </c>
      <c r="BF19" s="37">
        <f t="shared" si="10"/>
        <v>0</v>
      </c>
      <c r="BG19" s="37">
        <f t="shared" si="11"/>
        <v>0</v>
      </c>
      <c r="BH19" s="38">
        <f t="shared" si="12"/>
        <v>-12.787995687137059</v>
      </c>
      <c r="BI19" s="38">
        <f t="shared" si="13"/>
        <v>-300</v>
      </c>
      <c r="BJ19" s="42">
        <f t="shared" si="57"/>
        <v>-70.51703469674212</v>
      </c>
      <c r="BK19" s="42">
        <f t="shared" si="58"/>
        <v>0</v>
      </c>
      <c r="BL19" s="43">
        <f t="shared" si="14"/>
        <v>-12.787995687137059</v>
      </c>
      <c r="BM19" s="43">
        <f t="shared" si="15"/>
        <v>-300</v>
      </c>
      <c r="BN19" s="42">
        <f t="shared" si="59"/>
        <v>1000</v>
      </c>
      <c r="BO19" s="42">
        <f t="shared" si="60"/>
        <v>-51</v>
      </c>
      <c r="BP19" s="42">
        <f t="shared" si="16"/>
      </c>
      <c r="BQ19" s="42">
        <f t="shared" si="17"/>
      </c>
      <c r="BR19" s="42">
        <f t="shared" si="18"/>
      </c>
      <c r="BS19" s="42">
        <f t="shared" si="19"/>
      </c>
      <c r="BT19" s="42">
        <f t="shared" si="20"/>
      </c>
      <c r="BU19" s="42">
        <f t="shared" si="21"/>
      </c>
      <c r="BV19" s="42">
        <f t="shared" si="22"/>
      </c>
      <c r="BW19" s="42">
        <f t="shared" si="23"/>
      </c>
      <c r="BX19" s="42">
        <f t="shared" si="24"/>
      </c>
      <c r="BY19" s="45">
        <f t="shared" si="25"/>
        <v>-12.787995687137059</v>
      </c>
      <c r="BZ19" s="46">
        <f t="shared" si="26"/>
        <v>-300</v>
      </c>
      <c r="CA19" s="54">
        <f t="shared" si="27"/>
      </c>
      <c r="CB19" s="54">
        <f t="shared" si="28"/>
      </c>
      <c r="CC19" s="54">
        <f t="shared" si="29"/>
      </c>
      <c r="CD19" s="54">
        <f t="shared" si="30"/>
      </c>
      <c r="CE19" s="54">
        <f t="shared" si="31"/>
      </c>
      <c r="CF19" s="55">
        <f t="shared" si="32"/>
      </c>
      <c r="CG19" s="55">
        <f t="shared" si="33"/>
      </c>
      <c r="CH19">
        <f t="shared" si="34"/>
        <v>-12.787995687137059</v>
      </c>
      <c r="CI19">
        <f t="shared" si="35"/>
        <v>-300</v>
      </c>
    </row>
    <row r="20" spans="1:87" ht="13.5">
      <c r="A20" s="9">
        <v>-0.159999999999999</v>
      </c>
      <c r="B20" s="7">
        <f t="shared" si="61"/>
        <v>-50</v>
      </c>
      <c r="C20" s="7">
        <f t="shared" si="62"/>
        <v>-86</v>
      </c>
      <c r="D20" s="1">
        <f t="shared" si="63"/>
        <v>-112.29247184379102</v>
      </c>
      <c r="E20">
        <f t="shared" si="36"/>
        <v>300</v>
      </c>
      <c r="F20">
        <f t="shared" si="64"/>
        <v>-80.01657969674905</v>
      </c>
      <c r="G20">
        <f t="shared" si="65"/>
        <v>100</v>
      </c>
      <c r="H20">
        <f t="shared" si="66"/>
        <v>100</v>
      </c>
      <c r="I20">
        <f t="shared" si="66"/>
        <v>1.515</v>
      </c>
      <c r="J20">
        <f t="shared" si="67"/>
        <v>-0.14017898971405185</v>
      </c>
      <c r="K20">
        <f t="shared" si="37"/>
        <v>-0.14157689459313824</v>
      </c>
      <c r="L20" s="7">
        <f t="shared" si="68"/>
        <v>-1.980256614207168</v>
      </c>
      <c r="M20" s="7">
        <f t="shared" si="69"/>
        <v>-1227.0809464758074</v>
      </c>
      <c r="N20" s="43">
        <f t="shared" si="70"/>
        <v>-9.00961697325667</v>
      </c>
      <c r="O20" s="43">
        <f t="shared" si="71"/>
        <v>-340</v>
      </c>
      <c r="P20" s="43">
        <f t="shared" si="72"/>
        <v>-11.526997869415785</v>
      </c>
      <c r="Q20" s="43">
        <f t="shared" si="73"/>
        <v>-340</v>
      </c>
      <c r="R20" s="2">
        <f t="shared" si="74"/>
        <v>-66.39601451938717</v>
      </c>
      <c r="S20">
        <f t="shared" si="75"/>
        <v>0</v>
      </c>
      <c r="T20">
        <f t="shared" si="76"/>
        <v>1.333</v>
      </c>
      <c r="U20">
        <f t="shared" si="77"/>
        <v>1.333</v>
      </c>
      <c r="V20">
        <f t="shared" si="0"/>
        <v>-0.15931820661424498</v>
      </c>
      <c r="W20" s="7">
        <f t="shared" si="1"/>
        <v>-0.159999999999999</v>
      </c>
      <c r="X20">
        <f t="shared" si="38"/>
        <v>-0.16137946073520992</v>
      </c>
      <c r="Y20" s="10">
        <f t="shared" si="39"/>
        <v>-0.159999999999999</v>
      </c>
      <c r="Z20">
        <f t="shared" si="78"/>
        <v>-20.499557194983304</v>
      </c>
      <c r="AA20">
        <f t="shared" si="79"/>
        <v>-300</v>
      </c>
      <c r="AB20" s="7">
        <f t="shared" si="80"/>
        <v>1000</v>
      </c>
      <c r="AC20">
        <f t="shared" si="81"/>
        <v>-51</v>
      </c>
      <c r="AD20">
        <f t="shared" si="82"/>
        <v>1.375</v>
      </c>
      <c r="AE20">
        <f t="shared" si="83"/>
        <v>49.9999999999999</v>
      </c>
      <c r="AF20" s="10">
        <f t="shared" si="40"/>
        <v>1.0260433303471872</v>
      </c>
      <c r="AG20" s="10">
        <f t="shared" si="41"/>
        <v>-1066.396014519387</v>
      </c>
      <c r="AH20" s="10">
        <f t="shared" si="42"/>
        <v>446.1888275066316</v>
      </c>
      <c r="AI20" s="10">
        <f t="shared" si="43"/>
        <v>1137301.4597828328</v>
      </c>
      <c r="AJ20" s="10">
        <f t="shared" si="44"/>
        <v>-4468597.839825438</v>
      </c>
      <c r="AK20">
        <f t="shared" si="2"/>
        <v>-300</v>
      </c>
      <c r="AL20">
        <f t="shared" si="3"/>
        <v>-300</v>
      </c>
      <c r="AM20" s="10">
        <f t="shared" si="4"/>
        <v>-59501.00000000001</v>
      </c>
      <c r="AN20" s="10">
        <f t="shared" si="5"/>
        <v>-59501.00000000001</v>
      </c>
      <c r="AO20" s="21">
        <f t="shared" si="6"/>
        <v>-20.499557194983304</v>
      </c>
      <c r="AP20" s="22">
        <f t="shared" si="7"/>
        <v>-20.499557194983304</v>
      </c>
      <c r="AQ20" s="22">
        <f t="shared" si="45"/>
        <v>-20.499557194983304</v>
      </c>
      <c r="AR20" s="23">
        <f t="shared" si="46"/>
        <v>-20.499557194983304</v>
      </c>
      <c r="AS20" s="21">
        <f t="shared" si="47"/>
      </c>
      <c r="AT20" s="27">
        <f t="shared" si="48"/>
      </c>
      <c r="AU20" s="27">
        <f t="shared" si="49"/>
      </c>
      <c r="AV20" s="23">
        <f t="shared" si="50"/>
      </c>
      <c r="AW20" s="30">
        <f t="shared" si="51"/>
        <v>-0.16137946073520992</v>
      </c>
      <c r="AX20" s="21">
        <f t="shared" si="52"/>
        <v>-20.499557194983304</v>
      </c>
      <c r="AY20" s="33">
        <f t="shared" si="53"/>
      </c>
      <c r="AZ20" s="22">
        <f t="shared" si="54"/>
        <v>-20.499557194983304</v>
      </c>
      <c r="BA20" s="34">
        <f t="shared" si="55"/>
      </c>
      <c r="BB20" s="21">
        <f t="shared" si="56"/>
        <v>-20.499557194983304</v>
      </c>
      <c r="BC20" s="33">
        <f t="shared" si="8"/>
      </c>
      <c r="BD20" s="33"/>
      <c r="BE20" s="34">
        <f t="shared" si="9"/>
      </c>
      <c r="BF20" s="37">
        <f t="shared" si="10"/>
        <v>0</v>
      </c>
      <c r="BG20" s="37">
        <f t="shared" si="11"/>
        <v>0</v>
      </c>
      <c r="BH20" s="38">
        <f t="shared" si="12"/>
        <v>-20.499557194983304</v>
      </c>
      <c r="BI20" s="38">
        <f t="shared" si="13"/>
        <v>-300</v>
      </c>
      <c r="BJ20" s="42">
        <f t="shared" si="57"/>
        <v>-66.39601451938717</v>
      </c>
      <c r="BK20" s="42">
        <f t="shared" si="58"/>
        <v>0</v>
      </c>
      <c r="BL20" s="43">
        <f t="shared" si="14"/>
        <v>-20.499557194983304</v>
      </c>
      <c r="BM20" s="43">
        <f t="shared" si="15"/>
        <v>-300</v>
      </c>
      <c r="BN20" s="42">
        <f t="shared" si="59"/>
        <v>1000</v>
      </c>
      <c r="BO20" s="42">
        <f t="shared" si="60"/>
        <v>-51</v>
      </c>
      <c r="BP20" s="42">
        <f t="shared" si="16"/>
      </c>
      <c r="BQ20" s="42">
        <f t="shared" si="17"/>
      </c>
      <c r="BR20" s="42">
        <f t="shared" si="18"/>
      </c>
      <c r="BS20" s="42">
        <f t="shared" si="19"/>
      </c>
      <c r="BT20" s="42">
        <f t="shared" si="20"/>
      </c>
      <c r="BU20" s="42">
        <f t="shared" si="21"/>
      </c>
      <c r="BV20" s="42">
        <f t="shared" si="22"/>
      </c>
      <c r="BW20" s="42">
        <f t="shared" si="23"/>
      </c>
      <c r="BX20" s="42">
        <f t="shared" si="24"/>
      </c>
      <c r="BY20" s="45">
        <f t="shared" si="25"/>
        <v>-20.499557194983304</v>
      </c>
      <c r="BZ20" s="46">
        <f t="shared" si="26"/>
        <v>-300</v>
      </c>
      <c r="CA20" s="54">
        <f t="shared" si="27"/>
      </c>
      <c r="CB20" s="54">
        <f t="shared" si="28"/>
      </c>
      <c r="CC20" s="54">
        <f t="shared" si="29"/>
      </c>
      <c r="CD20" s="54">
        <f t="shared" si="30"/>
      </c>
      <c r="CE20" s="54">
        <f t="shared" si="31"/>
      </c>
      <c r="CF20" s="55">
        <f t="shared" si="32"/>
      </c>
      <c r="CG20" s="55">
        <f t="shared" si="33"/>
      </c>
      <c r="CH20">
        <f t="shared" si="34"/>
        <v>-20.499557194983304</v>
      </c>
      <c r="CI20">
        <f t="shared" si="35"/>
        <v>-300</v>
      </c>
    </row>
    <row r="21" spans="1:87" ht="13.5">
      <c r="A21" s="9">
        <v>-0.119999999999999</v>
      </c>
      <c r="B21" s="7">
        <f t="shared" si="61"/>
        <v>-50</v>
      </c>
      <c r="C21" s="7">
        <f t="shared" si="62"/>
        <v>-86</v>
      </c>
      <c r="D21" s="1">
        <f t="shared" si="63"/>
        <v>-96.54362416356346</v>
      </c>
      <c r="E21">
        <f t="shared" si="36"/>
        <v>300</v>
      </c>
      <c r="F21">
        <f t="shared" si="64"/>
        <v>-72.4277567213026</v>
      </c>
      <c r="G21">
        <f t="shared" si="65"/>
        <v>100</v>
      </c>
      <c r="H21">
        <f t="shared" si="66"/>
        <v>100</v>
      </c>
      <c r="I21">
        <f t="shared" si="66"/>
        <v>1.515</v>
      </c>
      <c r="J21">
        <f t="shared" si="67"/>
        <v>-0.10533093882252685</v>
      </c>
      <c r="K21">
        <f t="shared" si="37"/>
        <v>-0.10592014883914103</v>
      </c>
      <c r="L21" s="7">
        <f t="shared" si="68"/>
        <v>-1.4659188372163263</v>
      </c>
      <c r="M21" s="7">
        <f t="shared" si="69"/>
        <v>-1215.7297188053349</v>
      </c>
      <c r="N21" s="43">
        <f t="shared" si="70"/>
        <v>-19.372848348328716</v>
      </c>
      <c r="O21" s="43">
        <f t="shared" si="71"/>
        <v>-340</v>
      </c>
      <c r="P21" s="43">
        <f t="shared" si="72"/>
        <v>-21.353104962535884</v>
      </c>
      <c r="Q21" s="43">
        <f t="shared" si="73"/>
        <v>-340</v>
      </c>
      <c r="R21" s="2">
        <f t="shared" si="74"/>
        <v>-62.35007961437934</v>
      </c>
      <c r="S21">
        <f t="shared" si="75"/>
        <v>0</v>
      </c>
      <c r="T21">
        <f t="shared" si="76"/>
        <v>1.333</v>
      </c>
      <c r="U21">
        <f t="shared" si="77"/>
        <v>1.333</v>
      </c>
      <c r="V21">
        <f t="shared" si="0"/>
        <v>-0.11971220728891836</v>
      </c>
      <c r="W21" s="7">
        <f t="shared" si="1"/>
        <v>-0.119999999999999</v>
      </c>
      <c r="X21">
        <f t="shared" si="38"/>
        <v>-0.12057933721130429</v>
      </c>
      <c r="Y21" s="10">
        <f t="shared" si="39"/>
        <v>-0.119999999999999</v>
      </c>
      <c r="Z21">
        <f t="shared" si="78"/>
        <v>-28.156535065195218</v>
      </c>
      <c r="AA21">
        <f t="shared" si="79"/>
        <v>-300</v>
      </c>
      <c r="AB21" s="7">
        <f t="shared" si="80"/>
        <v>1000</v>
      </c>
      <c r="AC21">
        <f t="shared" si="81"/>
        <v>-51</v>
      </c>
      <c r="AD21">
        <f t="shared" si="82"/>
        <v>1.375</v>
      </c>
      <c r="AE21">
        <f t="shared" si="83"/>
        <v>49.9999999999999</v>
      </c>
      <c r="AF21" s="10">
        <f t="shared" si="40"/>
        <v>1.0145393765623174</v>
      </c>
      <c r="AG21" s="10">
        <f t="shared" si="41"/>
        <v>-1062.3500796143794</v>
      </c>
      <c r="AH21" s="10">
        <f t="shared" si="42"/>
        <v>358.19493697255643</v>
      </c>
      <c r="AI21" s="10">
        <f t="shared" si="43"/>
        <v>1128688.6916566782</v>
      </c>
      <c r="AJ21" s="10">
        <f t="shared" si="44"/>
        <v>-4452092.873392442</v>
      </c>
      <c r="AK21">
        <f t="shared" si="2"/>
        <v>-300</v>
      </c>
      <c r="AL21">
        <f t="shared" si="3"/>
        <v>-300</v>
      </c>
      <c r="AM21" s="10">
        <f t="shared" si="4"/>
        <v>-59501.00000000001</v>
      </c>
      <c r="AN21" s="10">
        <f t="shared" si="5"/>
        <v>-59501.00000000001</v>
      </c>
      <c r="AO21" s="21">
        <f t="shared" si="6"/>
        <v>-28.156535065195218</v>
      </c>
      <c r="AP21" s="22">
        <f t="shared" si="7"/>
        <v>-28.156535065195218</v>
      </c>
      <c r="AQ21" s="22">
        <f t="shared" si="45"/>
        <v>-28.156535065195218</v>
      </c>
      <c r="AR21" s="23">
        <f t="shared" si="46"/>
        <v>-28.156535065195218</v>
      </c>
      <c r="AS21" s="21">
        <f t="shared" si="47"/>
      </c>
      <c r="AT21" s="27">
        <f t="shared" si="48"/>
      </c>
      <c r="AU21" s="27">
        <f t="shared" si="49"/>
      </c>
      <c r="AV21" s="23">
        <f t="shared" si="50"/>
      </c>
      <c r="AW21" s="30">
        <f t="shared" si="51"/>
        <v>-0.12057933721130429</v>
      </c>
      <c r="AX21" s="21">
        <f t="shared" si="52"/>
        <v>-28.156535065195218</v>
      </c>
      <c r="AY21" s="33">
        <f t="shared" si="53"/>
      </c>
      <c r="AZ21" s="22">
        <f t="shared" si="54"/>
        <v>-28.156535065195218</v>
      </c>
      <c r="BA21" s="34">
        <f t="shared" si="55"/>
      </c>
      <c r="BB21" s="21">
        <f t="shared" si="56"/>
        <v>-28.156535065195218</v>
      </c>
      <c r="BC21" s="33">
        <f t="shared" si="8"/>
      </c>
      <c r="BD21" s="33"/>
      <c r="BE21" s="34">
        <f t="shared" si="9"/>
      </c>
      <c r="BF21" s="37">
        <f t="shared" si="10"/>
        <v>0</v>
      </c>
      <c r="BG21" s="37">
        <f t="shared" si="11"/>
        <v>0</v>
      </c>
      <c r="BH21" s="38">
        <f t="shared" si="12"/>
        <v>-28.156535065195218</v>
      </c>
      <c r="BI21" s="38">
        <f t="shared" si="13"/>
        <v>-300</v>
      </c>
      <c r="BJ21" s="42">
        <f t="shared" si="57"/>
        <v>-62.35007961437934</v>
      </c>
      <c r="BK21" s="42">
        <f t="shared" si="58"/>
        <v>0</v>
      </c>
      <c r="BL21" s="43">
        <f t="shared" si="14"/>
        <v>-28.156535065195218</v>
      </c>
      <c r="BM21" s="43">
        <f t="shared" si="15"/>
        <v>-300</v>
      </c>
      <c r="BN21" s="42">
        <f t="shared" si="59"/>
        <v>1000</v>
      </c>
      <c r="BO21" s="42">
        <f t="shared" si="60"/>
        <v>-51</v>
      </c>
      <c r="BP21" s="42">
        <f t="shared" si="16"/>
      </c>
      <c r="BQ21" s="42">
        <f t="shared" si="17"/>
      </c>
      <c r="BR21" s="42">
        <f t="shared" si="18"/>
      </c>
      <c r="BS21" s="42">
        <f t="shared" si="19"/>
      </c>
      <c r="BT21" s="42">
        <f t="shared" si="20"/>
      </c>
      <c r="BU21" s="42">
        <f t="shared" si="21"/>
      </c>
      <c r="BV21" s="42">
        <f t="shared" si="22"/>
      </c>
      <c r="BW21" s="42">
        <f t="shared" si="23"/>
      </c>
      <c r="BX21" s="42">
        <f t="shared" si="24"/>
      </c>
      <c r="BY21" s="45">
        <f t="shared" si="25"/>
        <v>-28.156535065195218</v>
      </c>
      <c r="BZ21" s="46">
        <f t="shared" si="26"/>
        <v>-300</v>
      </c>
      <c r="CA21" s="54">
        <f t="shared" si="27"/>
      </c>
      <c r="CB21" s="54">
        <f t="shared" si="28"/>
      </c>
      <c r="CC21" s="54">
        <f t="shared" si="29"/>
      </c>
      <c r="CD21" s="54">
        <f t="shared" si="30"/>
      </c>
      <c r="CE21" s="54">
        <f t="shared" si="31"/>
      </c>
      <c r="CF21" s="55">
        <f t="shared" si="32"/>
      </c>
      <c r="CG21" s="55">
        <f t="shared" si="33"/>
      </c>
      <c r="CH21">
        <f t="shared" si="34"/>
        <v>-28.156535065195218</v>
      </c>
      <c r="CI21">
        <f t="shared" si="35"/>
        <v>-300</v>
      </c>
    </row>
    <row r="22" spans="1:87" ht="13.5">
      <c r="A22" s="9">
        <v>-0.0799999999999991</v>
      </c>
      <c r="B22" s="7">
        <f t="shared" si="61"/>
        <v>-50</v>
      </c>
      <c r="C22" s="7">
        <f t="shared" si="62"/>
        <v>-86</v>
      </c>
      <c r="D22" s="1">
        <f t="shared" si="63"/>
        <v>-80.94604641731566</v>
      </c>
      <c r="E22">
        <f t="shared" si="36"/>
        <v>300</v>
      </c>
      <c r="F22">
        <f t="shared" si="64"/>
        <v>-64.91182547570133</v>
      </c>
      <c r="G22">
        <f t="shared" si="65"/>
        <v>100</v>
      </c>
      <c r="H22">
        <f>H21</f>
        <v>100</v>
      </c>
      <c r="I22">
        <f aca="true" t="shared" si="84" ref="I22:I44">I21</f>
        <v>1.515</v>
      </c>
      <c r="J22">
        <f t="shared" si="67"/>
        <v>-0.07031438089828779</v>
      </c>
      <c r="K22">
        <f t="shared" si="37"/>
        <v>-0.07048884920149011</v>
      </c>
      <c r="L22" s="7">
        <f t="shared" si="68"/>
        <v>-0.9682255506581541</v>
      </c>
      <c r="M22" s="7">
        <f t="shared" si="69"/>
        <v>-1207.6989012235388</v>
      </c>
      <c r="N22" s="43">
        <f t="shared" si="70"/>
        <v>-29.6365394041498</v>
      </c>
      <c r="O22" s="43">
        <f t="shared" si="71"/>
        <v>-340</v>
      </c>
      <c r="P22" s="43">
        <f t="shared" si="72"/>
        <v>-31.102458241366126</v>
      </c>
      <c r="Q22" s="43">
        <f t="shared" si="73"/>
        <v>-340</v>
      </c>
      <c r="R22" s="2">
        <f t="shared" si="74"/>
        <v>-58.36063384211049</v>
      </c>
      <c r="S22">
        <f t="shared" si="75"/>
        <v>0</v>
      </c>
      <c r="T22">
        <f t="shared" si="76"/>
        <v>1.333</v>
      </c>
      <c r="U22">
        <f>U21</f>
        <v>1.333</v>
      </c>
      <c r="V22">
        <f t="shared" si="0"/>
        <v>-0.0799146939691718</v>
      </c>
      <c r="W22" s="7">
        <f t="shared" si="1"/>
        <v>-0.0799999999999991</v>
      </c>
      <c r="X22">
        <f t="shared" si="38"/>
        <v>-0.08017110470807165</v>
      </c>
      <c r="Y22" s="10">
        <f t="shared" si="39"/>
        <v>-0.0799999999999991</v>
      </c>
      <c r="Z22">
        <f t="shared" si="78"/>
        <v>-35.775221266905326</v>
      </c>
      <c r="AA22">
        <f t="shared" si="79"/>
        <v>-300</v>
      </c>
      <c r="AB22" s="7">
        <f t="shared" si="80"/>
        <v>1000</v>
      </c>
      <c r="AC22">
        <f t="shared" si="81"/>
        <v>-51</v>
      </c>
      <c r="AD22">
        <f t="shared" si="82"/>
        <v>1.375</v>
      </c>
      <c r="AE22">
        <f t="shared" si="83"/>
        <v>49.9999999999999</v>
      </c>
      <c r="AF22" s="10">
        <f t="shared" si="40"/>
        <v>1.0064274060301126</v>
      </c>
      <c r="AG22" s="10">
        <f t="shared" si="41"/>
        <v>-1058.3606338421105</v>
      </c>
      <c r="AH22" s="10">
        <f t="shared" si="42"/>
        <v>271.69988238931387</v>
      </c>
      <c r="AI22" s="10">
        <f t="shared" si="43"/>
        <v>1120228.231266674</v>
      </c>
      <c r="AJ22" s="10">
        <f t="shared" si="44"/>
        <v>-4435892.745731312</v>
      </c>
      <c r="AK22">
        <f t="shared" si="2"/>
        <v>-300</v>
      </c>
      <c r="AL22">
        <f t="shared" si="3"/>
        <v>-300</v>
      </c>
      <c r="AM22" s="10">
        <f t="shared" si="4"/>
        <v>-59501.00000000001</v>
      </c>
      <c r="AN22" s="10">
        <f t="shared" si="5"/>
        <v>-59501.00000000001</v>
      </c>
      <c r="AO22" s="21">
        <f t="shared" si="6"/>
        <v>-35.775221266905326</v>
      </c>
      <c r="AP22" s="22">
        <f t="shared" si="7"/>
        <v>-35.775221266905326</v>
      </c>
      <c r="AQ22" s="22">
        <f t="shared" si="45"/>
        <v>-35.775221266905326</v>
      </c>
      <c r="AR22" s="23">
        <f t="shared" si="46"/>
        <v>-35.775221266905326</v>
      </c>
      <c r="AS22" s="21">
        <f t="shared" si="47"/>
      </c>
      <c r="AT22" s="27">
        <f t="shared" si="48"/>
      </c>
      <c r="AU22" s="27">
        <f t="shared" si="49"/>
      </c>
      <c r="AV22" s="23">
        <f t="shared" si="50"/>
      </c>
      <c r="AW22" s="30">
        <f t="shared" si="51"/>
        <v>-0.08017110470807165</v>
      </c>
      <c r="AX22" s="21">
        <f t="shared" si="52"/>
        <v>-35.775221266905326</v>
      </c>
      <c r="AY22" s="33">
        <f t="shared" si="53"/>
      </c>
      <c r="AZ22" s="22">
        <f t="shared" si="54"/>
        <v>-35.775221266905326</v>
      </c>
      <c r="BA22" s="34">
        <f t="shared" si="55"/>
      </c>
      <c r="BB22" s="21">
        <f t="shared" si="56"/>
        <v>-35.775221266905326</v>
      </c>
      <c r="BC22" s="33">
        <f t="shared" si="8"/>
      </c>
      <c r="BD22" s="33"/>
      <c r="BE22" s="34">
        <f t="shared" si="9"/>
      </c>
      <c r="BF22" s="37">
        <f t="shared" si="10"/>
        <v>0</v>
      </c>
      <c r="BG22" s="37">
        <f t="shared" si="11"/>
        <v>0</v>
      </c>
      <c r="BH22" s="38">
        <f t="shared" si="12"/>
        <v>-35.775221266905326</v>
      </c>
      <c r="BI22" s="38">
        <f t="shared" si="13"/>
        <v>-300</v>
      </c>
      <c r="BJ22" s="42">
        <f t="shared" si="57"/>
        <v>-58.36063384211049</v>
      </c>
      <c r="BK22" s="42">
        <f t="shared" si="58"/>
        <v>0</v>
      </c>
      <c r="BL22" s="43">
        <f t="shared" si="14"/>
        <v>-35.775221266905326</v>
      </c>
      <c r="BM22" s="43">
        <f t="shared" si="15"/>
        <v>-300</v>
      </c>
      <c r="BN22" s="42">
        <f t="shared" si="59"/>
        <v>1000</v>
      </c>
      <c r="BO22" s="42">
        <f t="shared" si="60"/>
        <v>-51</v>
      </c>
      <c r="BP22" s="42">
        <f t="shared" si="16"/>
      </c>
      <c r="BQ22" s="42">
        <f t="shared" si="17"/>
      </c>
      <c r="BR22" s="42">
        <f t="shared" si="18"/>
      </c>
      <c r="BS22" s="42">
        <f t="shared" si="19"/>
      </c>
      <c r="BT22" s="42">
        <f t="shared" si="20"/>
      </c>
      <c r="BU22" s="42">
        <f t="shared" si="21"/>
      </c>
      <c r="BV22" s="42">
        <f t="shared" si="22"/>
      </c>
      <c r="BW22" s="42">
        <f t="shared" si="23"/>
      </c>
      <c r="BX22" s="42">
        <f t="shared" si="24"/>
      </c>
      <c r="BY22" s="45">
        <f t="shared" si="25"/>
        <v>-35.775221266905326</v>
      </c>
      <c r="BZ22" s="46">
        <f t="shared" si="26"/>
        <v>-300</v>
      </c>
      <c r="CA22" s="54">
        <f t="shared" si="27"/>
      </c>
      <c r="CB22" s="54">
        <f t="shared" si="28"/>
      </c>
      <c r="CC22" s="54">
        <f t="shared" si="29"/>
      </c>
      <c r="CD22" s="54">
        <f t="shared" si="30"/>
      </c>
      <c r="CE22" s="54">
        <f t="shared" si="31"/>
      </c>
      <c r="CF22" s="55">
        <f t="shared" si="32"/>
      </c>
      <c r="CG22" s="55">
        <f t="shared" si="33"/>
      </c>
      <c r="CH22">
        <f t="shared" si="34"/>
        <v>-35.775221266905326</v>
      </c>
      <c r="CI22">
        <f t="shared" si="35"/>
        <v>-300</v>
      </c>
    </row>
    <row r="23" spans="1:87" ht="13.5">
      <c r="A23" s="9">
        <v>-0.039999999999999</v>
      </c>
      <c r="B23" s="7">
        <f t="shared" si="61"/>
        <v>-50</v>
      </c>
      <c r="C23" s="7">
        <f t="shared" si="62"/>
        <v>-86</v>
      </c>
      <c r="D23" s="1">
        <f t="shared" si="63"/>
        <v>-65.44823994026824</v>
      </c>
      <c r="E23">
        <f t="shared" si="36"/>
        <v>300</v>
      </c>
      <c r="F23">
        <f t="shared" si="64"/>
        <v>-57.44397054116552</v>
      </c>
      <c r="G23">
        <f t="shared" si="65"/>
        <v>100</v>
      </c>
      <c r="H23">
        <f>H22</f>
        <v>100</v>
      </c>
      <c r="I23">
        <f t="shared" si="84"/>
        <v>1.515</v>
      </c>
      <c r="J23">
        <f t="shared" si="67"/>
        <v>-0.03518533496421254</v>
      </c>
      <c r="K23">
        <f t="shared" si="37"/>
        <v>-0.03520713506733017</v>
      </c>
      <c r="L23" s="7">
        <f t="shared" si="68"/>
        <v>-0.481421192818339</v>
      </c>
      <c r="M23" s="7">
        <f t="shared" si="69"/>
        <v>-1202.911018642893</v>
      </c>
      <c r="N23" s="43">
        <f t="shared" si="70"/>
        <v>-39.83457786313956</v>
      </c>
      <c r="O23" s="43">
        <f t="shared" si="71"/>
        <v>-340</v>
      </c>
      <c r="P23" s="43">
        <f t="shared" si="72"/>
        <v>-40.80280341379771</v>
      </c>
      <c r="Q23" s="43">
        <f t="shared" si="73"/>
        <v>-340</v>
      </c>
      <c r="R23" s="2">
        <f t="shared" si="74"/>
        <v>-54.41006139227232</v>
      </c>
      <c r="S23">
        <f t="shared" si="75"/>
        <v>0</v>
      </c>
      <c r="T23">
        <f t="shared" si="76"/>
        <v>1.333</v>
      </c>
      <c r="U23">
        <f>U22</f>
        <v>1.333</v>
      </c>
      <c r="V23">
        <f t="shared" si="0"/>
        <v>-0.03998933418663316</v>
      </c>
      <c r="W23" s="7">
        <f t="shared" si="1"/>
        <v>-0.039999999999999</v>
      </c>
      <c r="X23">
        <f t="shared" si="38"/>
        <v>-0.04002134699551356</v>
      </c>
      <c r="Y23" s="10">
        <f t="shared" si="39"/>
        <v>-0.039999999999999</v>
      </c>
      <c r="Z23">
        <f t="shared" si="78"/>
        <v>-43.371882844276406</v>
      </c>
      <c r="AA23">
        <f t="shared" si="79"/>
        <v>-300</v>
      </c>
      <c r="AB23" s="7">
        <f t="shared" si="80"/>
        <v>1000</v>
      </c>
      <c r="AC23">
        <f t="shared" si="81"/>
        <v>-51</v>
      </c>
      <c r="AD23">
        <f t="shared" si="82"/>
        <v>1.375</v>
      </c>
      <c r="AE23">
        <f t="shared" si="83"/>
        <v>49.9999999999999</v>
      </c>
      <c r="AF23" s="10">
        <f t="shared" si="40"/>
        <v>1.0016017082153352</v>
      </c>
      <c r="AG23" s="10">
        <f t="shared" si="41"/>
        <v>-1054.4100613922724</v>
      </c>
      <c r="AH23" s="10">
        <f t="shared" si="42"/>
        <v>186.39782188508178</v>
      </c>
      <c r="AI23" s="10">
        <f t="shared" si="43"/>
        <v>1111881.5775652556</v>
      </c>
      <c r="AJ23" s="10">
        <f t="shared" si="44"/>
        <v>-4419905.801686584</v>
      </c>
      <c r="AK23">
        <f t="shared" si="2"/>
        <v>-300</v>
      </c>
      <c r="AL23">
        <f t="shared" si="3"/>
        <v>-300</v>
      </c>
      <c r="AM23" s="10">
        <f t="shared" si="4"/>
        <v>-59501.00000000001</v>
      </c>
      <c r="AN23" s="10">
        <f t="shared" si="5"/>
        <v>-59501.00000000001</v>
      </c>
      <c r="AO23" s="21">
        <f t="shared" si="6"/>
        <v>-43.371882844276406</v>
      </c>
      <c r="AP23" s="22">
        <f t="shared" si="7"/>
        <v>-43.371882844276406</v>
      </c>
      <c r="AQ23" s="22">
        <f t="shared" si="45"/>
        <v>-43.371882844276406</v>
      </c>
      <c r="AR23" s="23">
        <f t="shared" si="46"/>
        <v>-43.371882844276406</v>
      </c>
      <c r="AS23" s="21">
        <f t="shared" si="47"/>
      </c>
      <c r="AT23" s="27">
        <f t="shared" si="48"/>
      </c>
      <c r="AU23" s="27">
        <f t="shared" si="49"/>
      </c>
      <c r="AV23" s="23">
        <f t="shared" si="50"/>
      </c>
      <c r="AW23" s="30">
        <f t="shared" si="51"/>
        <v>-0.04002134699551356</v>
      </c>
      <c r="AX23" s="21">
        <f t="shared" si="52"/>
        <v>-43.371882844276406</v>
      </c>
      <c r="AY23" s="33">
        <f t="shared" si="53"/>
      </c>
      <c r="AZ23" s="22">
        <f t="shared" si="54"/>
        <v>-43.371882844276406</v>
      </c>
      <c r="BA23" s="34">
        <f t="shared" si="55"/>
      </c>
      <c r="BB23" s="21">
        <f t="shared" si="56"/>
        <v>-43.371882844276406</v>
      </c>
      <c r="BC23" s="33">
        <f t="shared" si="8"/>
      </c>
      <c r="BD23" s="33"/>
      <c r="BE23" s="34">
        <f t="shared" si="9"/>
      </c>
      <c r="BF23" s="37">
        <f t="shared" si="10"/>
        <v>0</v>
      </c>
      <c r="BG23" s="37">
        <f t="shared" si="11"/>
        <v>0</v>
      </c>
      <c r="BH23" s="38">
        <f t="shared" si="12"/>
        <v>-43.371882844276406</v>
      </c>
      <c r="BI23" s="38">
        <f t="shared" si="13"/>
        <v>-300</v>
      </c>
      <c r="BJ23" s="42">
        <f t="shared" si="57"/>
        <v>-54.41006139227232</v>
      </c>
      <c r="BK23" s="42">
        <f t="shared" si="58"/>
        <v>0</v>
      </c>
      <c r="BL23" s="43">
        <f t="shared" si="14"/>
        <v>-43.371882844276406</v>
      </c>
      <c r="BM23" s="43">
        <f t="shared" si="15"/>
        <v>-300</v>
      </c>
      <c r="BN23" s="42">
        <f t="shared" si="59"/>
        <v>1000</v>
      </c>
      <c r="BO23" s="42">
        <f t="shared" si="60"/>
        <v>-51</v>
      </c>
      <c r="BP23" s="42">
        <f t="shared" si="16"/>
      </c>
      <c r="BQ23" s="42">
        <f t="shared" si="17"/>
      </c>
      <c r="BR23" s="42">
        <f t="shared" si="18"/>
      </c>
      <c r="BS23" s="42">
        <f t="shared" si="19"/>
      </c>
      <c r="BT23" s="42">
        <f t="shared" si="20"/>
      </c>
      <c r="BU23" s="42">
        <f t="shared" si="21"/>
      </c>
      <c r="BV23" s="42">
        <f t="shared" si="22"/>
      </c>
      <c r="BW23" s="42">
        <f t="shared" si="23"/>
      </c>
      <c r="BX23" s="42">
        <f t="shared" si="24"/>
      </c>
      <c r="BY23" s="45">
        <f t="shared" si="25"/>
        <v>-43.371882844276406</v>
      </c>
      <c r="BZ23" s="46">
        <f t="shared" si="26"/>
        <v>-300</v>
      </c>
      <c r="CA23" s="54">
        <f t="shared" si="27"/>
      </c>
      <c r="CB23" s="54">
        <f t="shared" si="28"/>
      </c>
      <c r="CC23" s="54">
        <f t="shared" si="29"/>
      </c>
      <c r="CD23" s="54">
        <f t="shared" si="30"/>
      </c>
      <c r="CE23" s="54">
        <f t="shared" si="31"/>
      </c>
      <c r="CF23" s="55">
        <f t="shared" si="32"/>
      </c>
      <c r="CG23" s="55">
        <f t="shared" si="33"/>
      </c>
      <c r="CH23">
        <f t="shared" si="34"/>
        <v>-43.371882844276406</v>
      </c>
      <c r="CI23">
        <f t="shared" si="35"/>
        <v>-300</v>
      </c>
    </row>
    <row r="24" spans="1:87" ht="13.5">
      <c r="A24" s="9">
        <v>1E-05</v>
      </c>
      <c r="B24" s="7">
        <f t="shared" si="61"/>
        <v>-50</v>
      </c>
      <c r="C24" s="7">
        <f t="shared" si="62"/>
        <v>-86</v>
      </c>
      <c r="D24" s="1">
        <f t="shared" si="63"/>
        <v>-49.99613999999987</v>
      </c>
      <c r="E24">
        <f t="shared" si="36"/>
        <v>300</v>
      </c>
      <c r="F24">
        <f t="shared" si="64"/>
        <v>-49.998139999999935</v>
      </c>
      <c r="G24">
        <f t="shared" si="65"/>
        <v>100</v>
      </c>
      <c r="H24">
        <f>H23</f>
        <v>100</v>
      </c>
      <c r="I24">
        <f t="shared" si="84"/>
        <v>1.515</v>
      </c>
      <c r="J24">
        <f t="shared" si="67"/>
        <v>8.798679867840154E-06</v>
      </c>
      <c r="K24">
        <f t="shared" si="37"/>
        <v>8.798679868180736E-06</v>
      </c>
      <c r="L24" s="7">
        <f t="shared" si="68"/>
        <v>0.00012013201321525976</v>
      </c>
      <c r="M24" s="7">
        <f t="shared" si="69"/>
        <v>-1201.3201321125534</v>
      </c>
      <c r="N24" s="43">
        <f t="shared" si="70"/>
        <v>-50.00254000000008</v>
      </c>
      <c r="O24" s="43">
        <f t="shared" si="71"/>
        <v>-340</v>
      </c>
      <c r="P24" s="43">
        <f t="shared" si="72"/>
        <v>-50.48396119281842</v>
      </c>
      <c r="Q24" s="43">
        <f t="shared" si="73"/>
        <v>-340</v>
      </c>
      <c r="R24" s="2">
        <f t="shared" si="74"/>
        <v>-50.48056119281831</v>
      </c>
      <c r="S24">
        <f t="shared" si="75"/>
        <v>0</v>
      </c>
      <c r="T24">
        <f t="shared" si="76"/>
        <v>1.333</v>
      </c>
      <c r="U24">
        <f aca="true" t="shared" si="85" ref="U24:U44">U23</f>
        <v>1.333</v>
      </c>
      <c r="V24">
        <f t="shared" si="0"/>
        <v>9.999999999833334E-06</v>
      </c>
      <c r="W24" s="7">
        <f t="shared" si="1"/>
        <v>1E-05</v>
      </c>
      <c r="X24">
        <f t="shared" si="38"/>
        <v>1.0000000000333334E-05</v>
      </c>
      <c r="Y24" s="10">
        <f t="shared" si="39"/>
        <v>1E-05</v>
      </c>
      <c r="Z24">
        <f t="shared" si="78"/>
        <v>-50.964982385636745</v>
      </c>
      <c r="AA24">
        <f t="shared" si="79"/>
        <v>-300</v>
      </c>
      <c r="AB24" s="7">
        <f t="shared" si="80"/>
        <v>1000</v>
      </c>
      <c r="AC24">
        <f t="shared" si="81"/>
        <v>-51</v>
      </c>
      <c r="AD24">
        <f t="shared" si="82"/>
        <v>1.375</v>
      </c>
      <c r="AE24">
        <f t="shared" si="83"/>
        <v>49.9999999999999</v>
      </c>
      <c r="AF24" s="10">
        <f t="shared" si="40"/>
        <v>1.0000000001</v>
      </c>
      <c r="AG24" s="10">
        <f t="shared" si="41"/>
        <v>-1050.4805611928184</v>
      </c>
      <c r="AH24" s="10">
        <f t="shared" si="42"/>
        <v>101.97899038877544</v>
      </c>
      <c r="AI24" s="10">
        <f t="shared" si="43"/>
        <v>1103610.4094439787</v>
      </c>
      <c r="AJ24" s="10">
        <f t="shared" si="44"/>
        <v>-4404041.923736645</v>
      </c>
      <c r="AK24">
        <f t="shared" si="2"/>
        <v>-300</v>
      </c>
      <c r="AL24">
        <f t="shared" si="3"/>
        <v>-300</v>
      </c>
      <c r="AM24" s="10">
        <f t="shared" si="4"/>
        <v>-59501.00000000001</v>
      </c>
      <c r="AN24" s="10">
        <f t="shared" si="5"/>
        <v>-59501.00000000001</v>
      </c>
      <c r="AO24" s="21">
        <f t="shared" si="6"/>
        <v>-50.964982385636745</v>
      </c>
      <c r="AP24" s="22">
        <f t="shared" si="7"/>
        <v>-50.964982385636745</v>
      </c>
      <c r="AQ24" s="22">
        <f t="shared" si="45"/>
        <v>-50.964982385636745</v>
      </c>
      <c r="AR24" s="23">
        <f t="shared" si="46"/>
        <v>-50.964982385636745</v>
      </c>
      <c r="AS24" s="21">
        <f t="shared" si="47"/>
      </c>
      <c r="AT24" s="22">
        <f t="shared" si="48"/>
      </c>
      <c r="AU24" s="22">
        <f t="shared" si="49"/>
      </c>
      <c r="AV24" s="23">
        <f t="shared" si="50"/>
      </c>
      <c r="AW24" s="31">
        <f t="shared" si="51"/>
        <v>1.0000000000333334E-05</v>
      </c>
      <c r="AX24" s="21">
        <f t="shared" si="52"/>
        <v>-50.964982385636745</v>
      </c>
      <c r="AY24" s="33">
        <f t="shared" si="53"/>
      </c>
      <c r="AZ24" s="22">
        <f t="shared" si="54"/>
        <v>-50.964982385636745</v>
      </c>
      <c r="BA24" s="34">
        <f t="shared" si="55"/>
      </c>
      <c r="BB24" s="21">
        <f t="shared" si="56"/>
        <v>-50.964982385636745</v>
      </c>
      <c r="BC24" s="33">
        <f t="shared" si="8"/>
      </c>
      <c r="BD24" s="33"/>
      <c r="BE24" s="34">
        <f t="shared" si="9"/>
      </c>
      <c r="BF24" s="37">
        <f t="shared" si="10"/>
        <v>0</v>
      </c>
      <c r="BG24" s="37">
        <f t="shared" si="11"/>
        <v>0</v>
      </c>
      <c r="BH24" s="38">
        <f t="shared" si="12"/>
        <v>-50.964982385636745</v>
      </c>
      <c r="BI24" s="38">
        <f t="shared" si="13"/>
        <v>-300</v>
      </c>
      <c r="BJ24" s="42">
        <f t="shared" si="57"/>
        <v>-50.48056119281831</v>
      </c>
      <c r="BK24" s="42">
        <f t="shared" si="58"/>
        <v>0</v>
      </c>
      <c r="BL24" s="43">
        <f t="shared" si="14"/>
        <v>-50.964982385636745</v>
      </c>
      <c r="BM24" s="43">
        <f t="shared" si="15"/>
        <v>-300</v>
      </c>
      <c r="BN24" s="42">
        <f t="shared" si="59"/>
        <v>1000</v>
      </c>
      <c r="BO24" s="42">
        <f t="shared" si="60"/>
        <v>-51</v>
      </c>
      <c r="BP24" s="42">
        <f t="shared" si="16"/>
      </c>
      <c r="BQ24" s="42">
        <f t="shared" si="17"/>
      </c>
      <c r="BR24" s="42">
        <f t="shared" si="18"/>
      </c>
      <c r="BS24" s="42">
        <f t="shared" si="19"/>
      </c>
      <c r="BT24" s="42">
        <f t="shared" si="20"/>
      </c>
      <c r="BU24" s="42">
        <f t="shared" si="21"/>
      </c>
      <c r="BV24" s="42">
        <f t="shared" si="22"/>
      </c>
      <c r="BW24" s="42">
        <f t="shared" si="23"/>
      </c>
      <c r="BX24" s="42">
        <f t="shared" si="24"/>
      </c>
      <c r="BY24" s="45">
        <f t="shared" si="25"/>
        <v>-50.964982385636745</v>
      </c>
      <c r="BZ24" s="46">
        <f t="shared" si="26"/>
        <v>-300</v>
      </c>
      <c r="CA24" s="54">
        <f t="shared" si="27"/>
      </c>
      <c r="CB24" s="54">
        <f t="shared" si="28"/>
      </c>
      <c r="CC24" s="54">
        <f t="shared" si="29"/>
      </c>
      <c r="CD24" s="54">
        <f t="shared" si="30"/>
      </c>
      <c r="CE24" s="54">
        <f t="shared" si="31"/>
      </c>
      <c r="CF24" s="55">
        <f t="shared" si="32"/>
      </c>
      <c r="CG24" s="55">
        <f t="shared" si="33"/>
      </c>
      <c r="CH24">
        <f t="shared" si="34"/>
        <v>-50.964982385636745</v>
      </c>
      <c r="CI24">
        <f t="shared" si="35"/>
        <v>-300</v>
      </c>
    </row>
    <row r="25" spans="1:87" ht="13.5">
      <c r="A25" s="9">
        <v>0.04</v>
      </c>
      <c r="B25" s="7">
        <f t="shared" si="61"/>
        <v>-50</v>
      </c>
      <c r="C25" s="7">
        <f t="shared" si="62"/>
        <v>-86</v>
      </c>
      <c r="D25" s="1">
        <f t="shared" si="63"/>
        <v>-34.55176005973138</v>
      </c>
      <c r="E25">
        <f aca="true" t="shared" si="86" ref="E25:H44">E24</f>
        <v>300</v>
      </c>
      <c r="F25">
        <f t="shared" si="64"/>
        <v>-42.55602945883429</v>
      </c>
      <c r="G25">
        <f t="shared" si="65"/>
        <v>100</v>
      </c>
      <c r="H25">
        <f t="shared" si="86"/>
        <v>100</v>
      </c>
      <c r="I25">
        <f t="shared" si="84"/>
        <v>1.515</v>
      </c>
      <c r="J25">
        <f t="shared" si="67"/>
        <v>0.03518533496421342</v>
      </c>
      <c r="K25">
        <f t="shared" si="37"/>
        <v>0.03520713506733105</v>
      </c>
      <c r="L25" s="7">
        <f t="shared" si="68"/>
        <v>0.4814211928183515</v>
      </c>
      <c r="M25" s="7">
        <f t="shared" si="69"/>
        <v>-1202.9110186428939</v>
      </c>
      <c r="N25" s="43">
        <f t="shared" si="70"/>
        <v>-60.1654221368607</v>
      </c>
      <c r="O25" s="43">
        <f t="shared" si="71"/>
        <v>-340</v>
      </c>
      <c r="P25" s="43">
        <f t="shared" si="72"/>
        <v>-60.16530200484748</v>
      </c>
      <c r="Q25" s="43">
        <f t="shared" si="73"/>
        <v>-340</v>
      </c>
      <c r="R25" s="2">
        <f t="shared" si="74"/>
        <v>-46.558044026372535</v>
      </c>
      <c r="S25">
        <f aca="true" t="shared" si="87" ref="S25:S44">S24</f>
        <v>0</v>
      </c>
      <c r="T25">
        <f aca="true" t="shared" si="88" ref="T25:T44">T24</f>
        <v>1.333</v>
      </c>
      <c r="U25">
        <f t="shared" si="85"/>
        <v>1.333</v>
      </c>
      <c r="V25">
        <f t="shared" si="0"/>
        <v>0.03998933418663416</v>
      </c>
      <c r="W25" s="7">
        <f t="shared" si="1"/>
        <v>0.04</v>
      </c>
      <c r="X25">
        <f t="shared" si="38"/>
        <v>0.040021346995514566</v>
      </c>
      <c r="Y25" s="10">
        <f t="shared" si="39"/>
        <v>0.04</v>
      </c>
      <c r="Z25">
        <f t="shared" si="78"/>
        <v>-58.56432799301369</v>
      </c>
      <c r="AA25">
        <f t="shared" si="79"/>
        <v>-300</v>
      </c>
      <c r="AB25" s="7">
        <f t="shared" si="80"/>
        <v>1000</v>
      </c>
      <c r="AC25">
        <f t="shared" si="81"/>
        <v>-51</v>
      </c>
      <c r="AD25">
        <f t="shared" si="82"/>
        <v>1.375</v>
      </c>
      <c r="AE25">
        <f t="shared" si="83"/>
        <v>49.9999999999999</v>
      </c>
      <c r="AF25" s="10">
        <f t="shared" si="40"/>
        <v>1.0016017082153355</v>
      </c>
      <c r="AG25" s="10">
        <f t="shared" si="41"/>
        <v>-1046.5580440263725</v>
      </c>
      <c r="AH25" s="10">
        <f t="shared" si="42"/>
        <v>18.230674738147073</v>
      </c>
      <c r="AI25" s="10">
        <f t="shared" si="43"/>
        <v>1095384.7395163067</v>
      </c>
      <c r="AJ25" s="10">
        <f t="shared" si="44"/>
        <v>-4388224.547508764</v>
      </c>
      <c r="AK25">
        <f t="shared" si="2"/>
        <v>-300</v>
      </c>
      <c r="AL25">
        <f t="shared" si="3"/>
        <v>-300</v>
      </c>
      <c r="AM25" s="10">
        <f t="shared" si="4"/>
        <v>-59501.00000000001</v>
      </c>
      <c r="AN25" s="10">
        <f t="shared" si="5"/>
        <v>-59501.00000000001</v>
      </c>
      <c r="AO25" s="21">
        <f t="shared" si="6"/>
        <v>-58.56432799301369</v>
      </c>
      <c r="AP25" s="22">
        <f t="shared" si="7"/>
        <v>-58.56432799301369</v>
      </c>
      <c r="AQ25" s="22">
        <f t="shared" si="45"/>
        <v>-58.56432799301369</v>
      </c>
      <c r="AR25" s="23">
        <f t="shared" si="46"/>
        <v>-58.56432799301369</v>
      </c>
      <c r="AS25" s="28">
        <f t="shared" si="47"/>
      </c>
      <c r="AT25" s="22">
        <f t="shared" si="48"/>
      </c>
      <c r="AU25" s="22">
        <f t="shared" si="49"/>
      </c>
      <c r="AV25" s="23">
        <f t="shared" si="50"/>
      </c>
      <c r="AW25" s="31">
        <f t="shared" si="51"/>
        <v>0.040021346995514566</v>
      </c>
      <c r="AX25" s="21">
        <f t="shared" si="52"/>
        <v>-58.56432799301369</v>
      </c>
      <c r="AY25" s="33">
        <f t="shared" si="53"/>
      </c>
      <c r="AZ25" s="22">
        <f t="shared" si="54"/>
        <v>-58.56432799301369</v>
      </c>
      <c r="BA25" s="34">
        <f t="shared" si="55"/>
      </c>
      <c r="BB25" s="21">
        <f t="shared" si="56"/>
        <v>-58.56432799301369</v>
      </c>
      <c r="BC25" s="33">
        <f t="shared" si="8"/>
      </c>
      <c r="BD25" s="33"/>
      <c r="BE25" s="34">
        <f t="shared" si="9"/>
      </c>
      <c r="BF25" s="37">
        <f t="shared" si="10"/>
        <v>0</v>
      </c>
      <c r="BG25" s="37">
        <f t="shared" si="11"/>
        <v>0</v>
      </c>
      <c r="BH25" s="38">
        <f t="shared" si="12"/>
        <v>-58.56432799301369</v>
      </c>
      <c r="BI25" s="38">
        <f t="shared" si="13"/>
        <v>-300</v>
      </c>
      <c r="BJ25" s="42">
        <f t="shared" si="57"/>
        <v>-46.558044026372535</v>
      </c>
      <c r="BK25" s="42">
        <f t="shared" si="58"/>
        <v>0</v>
      </c>
      <c r="BL25" s="43">
        <f t="shared" si="14"/>
        <v>-58.56432799301369</v>
      </c>
      <c r="BM25" s="43">
        <f t="shared" si="15"/>
        <v>-300</v>
      </c>
      <c r="BN25" s="42">
        <f t="shared" si="59"/>
        <v>1000</v>
      </c>
      <c r="BO25" s="42">
        <f t="shared" si="60"/>
        <v>-51</v>
      </c>
      <c r="BP25" s="42">
        <f t="shared" si="16"/>
      </c>
      <c r="BQ25" s="42">
        <f t="shared" si="17"/>
      </c>
      <c r="BR25" s="42">
        <f t="shared" si="18"/>
      </c>
      <c r="BS25" s="42">
        <f t="shared" si="19"/>
      </c>
      <c r="BT25" s="42">
        <f t="shared" si="20"/>
      </c>
      <c r="BU25" s="42">
        <f t="shared" si="21"/>
      </c>
      <c r="BV25" s="42">
        <f t="shared" si="22"/>
      </c>
      <c r="BW25" s="42">
        <f t="shared" si="23"/>
      </c>
      <c r="BX25" s="42">
        <f t="shared" si="24"/>
      </c>
      <c r="BY25" s="45">
        <f t="shared" si="25"/>
        <v>-58.56432799301369</v>
      </c>
      <c r="BZ25" s="46">
        <f t="shared" si="26"/>
        <v>-300</v>
      </c>
      <c r="CA25" s="54">
        <f t="shared" si="27"/>
      </c>
      <c r="CB25" s="54">
        <f t="shared" si="28"/>
      </c>
      <c r="CC25" s="54">
        <f t="shared" si="29"/>
      </c>
      <c r="CD25" s="54">
        <f t="shared" si="30"/>
      </c>
      <c r="CE25" s="54">
        <f t="shared" si="31"/>
      </c>
      <c r="CF25" s="55">
        <f t="shared" si="32"/>
      </c>
      <c r="CG25" s="55">
        <f t="shared" si="33"/>
      </c>
      <c r="CH25">
        <f t="shared" si="34"/>
        <v>-58.56432799301369</v>
      </c>
      <c r="CI25">
        <f t="shared" si="35"/>
        <v>-300</v>
      </c>
    </row>
    <row r="26" spans="1:87" ht="13.5">
      <c r="A26" s="9">
        <v>0.080000000000001</v>
      </c>
      <c r="B26" s="7">
        <f t="shared" si="61"/>
        <v>-50</v>
      </c>
      <c r="C26" s="7">
        <f t="shared" si="62"/>
        <v>-86</v>
      </c>
      <c r="D26" s="1">
        <f t="shared" si="63"/>
        <v>-19.053953582683604</v>
      </c>
      <c r="E26">
        <f t="shared" si="86"/>
        <v>300</v>
      </c>
      <c r="F26">
        <f t="shared" si="64"/>
        <v>-35.08817452429832</v>
      </c>
      <c r="G26">
        <f t="shared" si="65"/>
        <v>100</v>
      </c>
      <c r="H26">
        <f t="shared" si="86"/>
        <v>100</v>
      </c>
      <c r="I26">
        <f t="shared" si="84"/>
        <v>1.515</v>
      </c>
      <c r="J26">
        <f t="shared" si="67"/>
        <v>0.07031438089828945</v>
      </c>
      <c r="K26">
        <f t="shared" si="37"/>
        <v>0.07048884920149179</v>
      </c>
      <c r="L26" s="7">
        <f t="shared" si="68"/>
        <v>0.9682255506581777</v>
      </c>
      <c r="M26" s="7">
        <f t="shared" si="69"/>
        <v>-1207.6989012235395</v>
      </c>
      <c r="N26" s="43">
        <f t="shared" si="70"/>
        <v>-70.36346059585068</v>
      </c>
      <c r="O26" s="43">
        <f t="shared" si="71"/>
        <v>-340</v>
      </c>
      <c r="P26" s="43">
        <f t="shared" si="72"/>
        <v>-69.88203940303234</v>
      </c>
      <c r="Q26" s="43">
        <f t="shared" si="73"/>
        <v>-340</v>
      </c>
      <c r="R26" s="2">
        <f t="shared" si="74"/>
        <v>-42.623863802287325</v>
      </c>
      <c r="S26">
        <f t="shared" si="87"/>
        <v>0</v>
      </c>
      <c r="T26">
        <f t="shared" si="88"/>
        <v>1.333</v>
      </c>
      <c r="U26">
        <f t="shared" si="85"/>
        <v>1.333</v>
      </c>
      <c r="V26">
        <f t="shared" si="0"/>
        <v>0.07991469396917368</v>
      </c>
      <c r="W26" s="7">
        <f t="shared" si="1"/>
        <v>0.080000000000001</v>
      </c>
      <c r="X26">
        <f t="shared" si="38"/>
        <v>0.08017110470807357</v>
      </c>
      <c r="Y26" s="10">
        <f t="shared" si="39"/>
        <v>0.080000000000001</v>
      </c>
      <c r="Z26">
        <f t="shared" si="78"/>
        <v>-66.19377402189104</v>
      </c>
      <c r="AA26">
        <f t="shared" si="79"/>
        <v>-300</v>
      </c>
      <c r="AB26" s="7">
        <f t="shared" si="80"/>
        <v>1000</v>
      </c>
      <c r="AC26">
        <f t="shared" si="81"/>
        <v>-51</v>
      </c>
      <c r="AD26">
        <f t="shared" si="82"/>
        <v>1.375</v>
      </c>
      <c r="AE26">
        <f t="shared" si="83"/>
        <v>49.9999999999999</v>
      </c>
      <c r="AF26" s="10">
        <f t="shared" si="40"/>
        <v>1.0064274060301128</v>
      </c>
      <c r="AG26" s="10">
        <f t="shared" si="41"/>
        <v>-1042.6238638022874</v>
      </c>
      <c r="AH26" s="10">
        <f t="shared" si="42"/>
        <v>-65.17661391205883</v>
      </c>
      <c r="AI26" s="10">
        <f t="shared" si="43"/>
        <v>1087165.5213700107</v>
      </c>
      <c r="AJ26" s="10">
        <f t="shared" si="44"/>
        <v>-4372364.711390139</v>
      </c>
      <c r="AK26">
        <f t="shared" si="2"/>
        <v>-300</v>
      </c>
      <c r="AL26">
        <f t="shared" si="3"/>
        <v>-300</v>
      </c>
      <c r="AM26" s="10">
        <f t="shared" si="4"/>
        <v>-59501.00000000001</v>
      </c>
      <c r="AN26" s="10">
        <f t="shared" si="5"/>
        <v>-59501.00000000001</v>
      </c>
      <c r="AO26" s="21">
        <f t="shared" si="6"/>
        <v>-66.19377402189104</v>
      </c>
      <c r="AP26" s="22">
        <f t="shared" si="7"/>
        <v>-66.19377402189104</v>
      </c>
      <c r="AQ26" s="22">
        <f t="shared" si="45"/>
        <v>-66.19377402189104</v>
      </c>
      <c r="AR26" s="23">
        <f t="shared" si="46"/>
        <v>-66.19377402189104</v>
      </c>
      <c r="AS26" s="28">
        <f t="shared" si="47"/>
      </c>
      <c r="AT26" s="22">
        <f t="shared" si="48"/>
      </c>
      <c r="AU26" s="22">
        <f t="shared" si="49"/>
      </c>
      <c r="AV26" s="23">
        <f t="shared" si="50"/>
      </c>
      <c r="AW26" s="31">
        <f t="shared" si="51"/>
        <v>0.08017110470807357</v>
      </c>
      <c r="AX26" s="21">
        <f t="shared" si="52"/>
        <v>-66.19377402189104</v>
      </c>
      <c r="AY26" s="33">
        <f t="shared" si="53"/>
      </c>
      <c r="AZ26" s="22">
        <f t="shared" si="54"/>
        <v>-66.19377402189104</v>
      </c>
      <c r="BA26" s="34">
        <f t="shared" si="55"/>
      </c>
      <c r="BB26" s="21">
        <f t="shared" si="56"/>
        <v>-66.19377402189104</v>
      </c>
      <c r="BC26" s="33">
        <f t="shared" si="8"/>
      </c>
      <c r="BD26" s="33"/>
      <c r="BE26" s="34">
        <f t="shared" si="9"/>
      </c>
      <c r="BF26" s="37">
        <f t="shared" si="10"/>
        <v>0</v>
      </c>
      <c r="BG26" s="37">
        <f t="shared" si="11"/>
        <v>0</v>
      </c>
      <c r="BH26" s="38">
        <f t="shared" si="12"/>
        <v>-66.19377402189104</v>
      </c>
      <c r="BI26" s="38">
        <f t="shared" si="13"/>
        <v>-300</v>
      </c>
      <c r="BJ26" s="42">
        <f t="shared" si="57"/>
        <v>-42.623863802287325</v>
      </c>
      <c r="BK26" s="42">
        <f t="shared" si="58"/>
        <v>0</v>
      </c>
      <c r="BL26" s="43">
        <f t="shared" si="14"/>
        <v>-66.19377402189104</v>
      </c>
      <c r="BM26" s="43">
        <f t="shared" si="15"/>
        <v>-300</v>
      </c>
      <c r="BN26" s="42">
        <f t="shared" si="59"/>
        <v>1000</v>
      </c>
      <c r="BO26" s="42">
        <f t="shared" si="60"/>
        <v>-51</v>
      </c>
      <c r="BP26" s="42">
        <f t="shared" si="16"/>
      </c>
      <c r="BQ26" s="42">
        <f t="shared" si="17"/>
      </c>
      <c r="BR26" s="42">
        <f t="shared" si="18"/>
      </c>
      <c r="BS26" s="42">
        <f t="shared" si="19"/>
      </c>
      <c r="BT26" s="42">
        <f t="shared" si="20"/>
      </c>
      <c r="BU26" s="42">
        <f t="shared" si="21"/>
      </c>
      <c r="BV26" s="42">
        <f t="shared" si="22"/>
      </c>
      <c r="BW26" s="42">
        <f t="shared" si="23"/>
      </c>
      <c r="BX26" s="42">
        <f t="shared" si="24"/>
      </c>
      <c r="BY26" s="45">
        <f t="shared" si="25"/>
        <v>-66.19377402189104</v>
      </c>
      <c r="BZ26" s="46">
        <f t="shared" si="26"/>
        <v>-300</v>
      </c>
      <c r="CA26" s="54">
        <f t="shared" si="27"/>
      </c>
      <c r="CB26" s="54">
        <f t="shared" si="28"/>
      </c>
      <c r="CC26" s="54">
        <f t="shared" si="29"/>
      </c>
      <c r="CD26" s="54">
        <f t="shared" si="30"/>
      </c>
      <c r="CE26" s="54">
        <f t="shared" si="31"/>
      </c>
      <c r="CF26" s="55">
        <f t="shared" si="32"/>
      </c>
      <c r="CG26" s="55">
        <f t="shared" si="33"/>
      </c>
      <c r="CH26">
        <f t="shared" si="34"/>
        <v>-66.19377402189104</v>
      </c>
      <c r="CI26">
        <f t="shared" si="35"/>
        <v>-300</v>
      </c>
    </row>
    <row r="27" spans="1:87" ht="13.5">
      <c r="A27" s="9">
        <v>0.120000000000001</v>
      </c>
      <c r="B27" s="7">
        <f t="shared" si="61"/>
        <v>-50</v>
      </c>
      <c r="C27" s="7">
        <f t="shared" si="62"/>
        <v>-86</v>
      </c>
      <c r="D27" s="1">
        <f t="shared" si="63"/>
        <v>-3.456375836435761</v>
      </c>
      <c r="E27">
        <f t="shared" si="86"/>
        <v>300</v>
      </c>
      <c r="F27">
        <f t="shared" si="64"/>
        <v>-27.572243278697027</v>
      </c>
      <c r="G27">
        <f t="shared" si="65"/>
        <v>100</v>
      </c>
      <c r="H27">
        <f t="shared" si="86"/>
        <v>100</v>
      </c>
      <c r="I27">
        <f t="shared" si="84"/>
        <v>1.515</v>
      </c>
      <c r="J27">
        <f t="shared" si="67"/>
        <v>0.1053309388225286</v>
      </c>
      <c r="K27">
        <f t="shared" si="37"/>
        <v>0.1059201488391428</v>
      </c>
      <c r="L27" s="7">
        <f t="shared" si="68"/>
        <v>1.4659188372163512</v>
      </c>
      <c r="M27" s="7">
        <f t="shared" si="69"/>
        <v>-1215.7297188053353</v>
      </c>
      <c r="N27" s="43">
        <f t="shared" si="70"/>
        <v>-80.6271516516718</v>
      </c>
      <c r="O27" s="43">
        <f t="shared" si="71"/>
        <v>-340</v>
      </c>
      <c r="P27" s="43">
        <f t="shared" si="72"/>
        <v>-79.65892610101362</v>
      </c>
      <c r="Q27" s="43">
        <f t="shared" si="73"/>
        <v>-340</v>
      </c>
      <c r="R27" s="2">
        <f t="shared" si="74"/>
        <v>-38.66195144916948</v>
      </c>
      <c r="S27">
        <f t="shared" si="87"/>
        <v>0</v>
      </c>
      <c r="T27">
        <f t="shared" si="88"/>
        <v>1.333</v>
      </c>
      <c r="U27">
        <f t="shared" si="85"/>
        <v>1.333</v>
      </c>
      <c r="V27">
        <f t="shared" si="0"/>
        <v>0.11971220728892035</v>
      </c>
      <c r="W27" s="7">
        <f t="shared" si="1"/>
        <v>0.120000000000001</v>
      </c>
      <c r="X27">
        <f t="shared" si="38"/>
        <v>0.12057933721130631</v>
      </c>
      <c r="Y27" s="10">
        <f t="shared" si="39"/>
        <v>0.120000000000001</v>
      </c>
      <c r="Z27">
        <f t="shared" si="78"/>
        <v>-73.8675270619032</v>
      </c>
      <c r="AA27">
        <f t="shared" si="79"/>
        <v>-300</v>
      </c>
      <c r="AB27" s="7">
        <f t="shared" si="80"/>
        <v>1000</v>
      </c>
      <c r="AC27">
        <f t="shared" si="81"/>
        <v>-51</v>
      </c>
      <c r="AD27">
        <f t="shared" si="82"/>
        <v>1.375</v>
      </c>
      <c r="AE27">
        <f t="shared" si="83"/>
        <v>49.9999999999999</v>
      </c>
      <c r="AF27" s="10">
        <f t="shared" si="40"/>
        <v>1.0145393765623179</v>
      </c>
      <c r="AG27" s="10">
        <f t="shared" si="41"/>
        <v>-1038.6619514491695</v>
      </c>
      <c r="AH27" s="10">
        <f t="shared" si="42"/>
        <v>-148.48233938468576</v>
      </c>
      <c r="AI27" s="10">
        <f t="shared" si="43"/>
        <v>1078919.6493881969</v>
      </c>
      <c r="AJ27" s="10">
        <f t="shared" si="44"/>
        <v>-4356378.868695394</v>
      </c>
      <c r="AK27">
        <f t="shared" si="2"/>
        <v>-300</v>
      </c>
      <c r="AL27">
        <f t="shared" si="3"/>
        <v>-300</v>
      </c>
      <c r="AM27" s="10">
        <f t="shared" si="4"/>
        <v>-59501.00000000001</v>
      </c>
      <c r="AN27" s="10">
        <f t="shared" si="5"/>
        <v>-59501.00000000001</v>
      </c>
      <c r="AO27" s="21">
        <f t="shared" si="6"/>
        <v>-73.8675270619032</v>
      </c>
      <c r="AP27" s="22">
        <f t="shared" si="7"/>
        <v>-73.8675270619032</v>
      </c>
      <c r="AQ27" s="22">
        <f t="shared" si="45"/>
        <v>-73.8675270619032</v>
      </c>
      <c r="AR27" s="23">
        <f t="shared" si="46"/>
        <v>-73.8675270619032</v>
      </c>
      <c r="AS27" s="28">
        <f t="shared" si="47"/>
      </c>
      <c r="AT27" s="22">
        <f t="shared" si="48"/>
      </c>
      <c r="AU27" s="22">
        <f t="shared" si="49"/>
      </c>
      <c r="AV27" s="23">
        <f t="shared" si="50"/>
      </c>
      <c r="AW27" s="31">
        <f t="shared" si="51"/>
        <v>0.12057933721130631</v>
      </c>
      <c r="AX27" s="21">
        <f t="shared" si="52"/>
        <v>-73.8675270619032</v>
      </c>
      <c r="AY27" s="33">
        <f t="shared" si="53"/>
      </c>
      <c r="AZ27" s="22">
        <f t="shared" si="54"/>
        <v>-73.8675270619032</v>
      </c>
      <c r="BA27" s="34">
        <f t="shared" si="55"/>
      </c>
      <c r="BB27" s="21">
        <f t="shared" si="56"/>
        <v>-73.8675270619032</v>
      </c>
      <c r="BC27" s="33">
        <f t="shared" si="8"/>
      </c>
      <c r="BD27" s="33"/>
      <c r="BE27" s="34">
        <f t="shared" si="9"/>
      </c>
      <c r="BF27" s="37">
        <f t="shared" si="10"/>
        <v>0</v>
      </c>
      <c r="BG27" s="37">
        <f t="shared" si="11"/>
        <v>0</v>
      </c>
      <c r="BH27" s="38">
        <f t="shared" si="12"/>
        <v>-73.8675270619032</v>
      </c>
      <c r="BI27" s="38">
        <f t="shared" si="13"/>
        <v>-300</v>
      </c>
      <c r="BJ27" s="42">
        <f t="shared" si="57"/>
        <v>-38.66195144916948</v>
      </c>
      <c r="BK27" s="42">
        <f t="shared" si="58"/>
        <v>0</v>
      </c>
      <c r="BL27" s="43">
        <f t="shared" si="14"/>
        <v>-73.8675270619032</v>
      </c>
      <c r="BM27" s="43">
        <f t="shared" si="15"/>
        <v>-300</v>
      </c>
      <c r="BN27" s="42">
        <f t="shared" si="59"/>
        <v>1000</v>
      </c>
      <c r="BO27" s="42">
        <f t="shared" si="60"/>
        <v>-51</v>
      </c>
      <c r="BP27" s="42">
        <f t="shared" si="16"/>
      </c>
      <c r="BQ27" s="42">
        <f t="shared" si="17"/>
      </c>
      <c r="BR27" s="42">
        <f t="shared" si="18"/>
      </c>
      <c r="BS27" s="42">
        <f t="shared" si="19"/>
      </c>
      <c r="BT27" s="42">
        <f t="shared" si="20"/>
      </c>
      <c r="BU27" s="42">
        <f t="shared" si="21"/>
      </c>
      <c r="BV27" s="42">
        <f t="shared" si="22"/>
      </c>
      <c r="BW27" s="42">
        <f t="shared" si="23"/>
      </c>
      <c r="BX27" s="42">
        <f t="shared" si="24"/>
      </c>
      <c r="BY27" s="45">
        <f t="shared" si="25"/>
        <v>-73.8675270619032</v>
      </c>
      <c r="BZ27" s="46">
        <f t="shared" si="26"/>
        <v>-300</v>
      </c>
      <c r="CA27" s="54">
        <f t="shared" si="27"/>
      </c>
      <c r="CB27" s="54">
        <f t="shared" si="28"/>
      </c>
      <c r="CC27" s="54">
        <f t="shared" si="29"/>
      </c>
      <c r="CD27" s="54">
        <f t="shared" si="30"/>
      </c>
      <c r="CE27" s="54">
        <f t="shared" si="31"/>
      </c>
      <c r="CF27" s="55">
        <f t="shared" si="32"/>
      </c>
      <c r="CG27" s="55">
        <f t="shared" si="33"/>
      </c>
      <c r="CH27">
        <f t="shared" si="34"/>
        <v>-73.8675270619032</v>
      </c>
      <c r="CI27">
        <f t="shared" si="35"/>
        <v>-300</v>
      </c>
    </row>
    <row r="28" spans="1:87" ht="13.5">
      <c r="A28" s="9">
        <v>0.160000000000001</v>
      </c>
      <c r="B28" s="7">
        <f t="shared" si="61"/>
        <v>-50</v>
      </c>
      <c r="C28" s="7">
        <f t="shared" si="62"/>
        <v>-86</v>
      </c>
      <c r="D28" s="1">
        <f t="shared" si="63"/>
        <v>12.292471843791823</v>
      </c>
      <c r="E28">
        <f t="shared" si="86"/>
        <v>300</v>
      </c>
      <c r="F28">
        <f t="shared" si="64"/>
        <v>-19.983420303250572</v>
      </c>
      <c r="G28">
        <f t="shared" si="65"/>
        <v>100</v>
      </c>
      <c r="H28">
        <f t="shared" si="86"/>
        <v>100</v>
      </c>
      <c r="I28">
        <f t="shared" si="84"/>
        <v>1.515</v>
      </c>
      <c r="J28">
        <f t="shared" si="67"/>
        <v>0.1401789897140536</v>
      </c>
      <c r="K28">
        <f t="shared" si="37"/>
        <v>0.14157689459314005</v>
      </c>
      <c r="L28" s="7">
        <f t="shared" si="68"/>
        <v>1.9802566142071931</v>
      </c>
      <c r="M28" s="7">
        <f t="shared" si="69"/>
        <v>-1227.0809464758074</v>
      </c>
      <c r="N28" s="43">
        <f t="shared" si="70"/>
        <v>-90.99038302674384</v>
      </c>
      <c r="O28" s="43">
        <f t="shared" si="71"/>
        <v>-340</v>
      </c>
      <c r="P28" s="43">
        <f t="shared" si="72"/>
        <v>-89.52446418952749</v>
      </c>
      <c r="Q28" s="43">
        <f t="shared" si="73"/>
        <v>-340</v>
      </c>
      <c r="R28" s="2">
        <f t="shared" si="74"/>
        <v>-34.65544753955542</v>
      </c>
      <c r="S28">
        <f t="shared" si="87"/>
        <v>0</v>
      </c>
      <c r="T28">
        <f t="shared" si="88"/>
        <v>1.333</v>
      </c>
      <c r="U28">
        <f t="shared" si="85"/>
        <v>1.333</v>
      </c>
      <c r="V28">
        <f t="shared" si="0"/>
        <v>0.15931820661424695</v>
      </c>
      <c r="W28" s="7">
        <f t="shared" si="1"/>
        <v>0.160000000000001</v>
      </c>
      <c r="X28">
        <f t="shared" si="38"/>
        <v>0.16137946073521198</v>
      </c>
      <c r="Y28" s="10">
        <f t="shared" si="39"/>
        <v>0.160000000000001</v>
      </c>
      <c r="Z28">
        <f t="shared" si="78"/>
        <v>-81.60336692290267</v>
      </c>
      <c r="AA28">
        <f t="shared" si="79"/>
        <v>-300</v>
      </c>
      <c r="AB28" s="7">
        <f t="shared" si="80"/>
        <v>1000</v>
      </c>
      <c r="AC28">
        <f t="shared" si="81"/>
        <v>-51</v>
      </c>
      <c r="AD28">
        <f t="shared" si="82"/>
        <v>1.375</v>
      </c>
      <c r="AE28">
        <f t="shared" si="83"/>
        <v>49.9999999999999</v>
      </c>
      <c r="AF28" s="10">
        <f t="shared" si="40"/>
        <v>1.0260433303471879</v>
      </c>
      <c r="AG28" s="10">
        <f t="shared" si="41"/>
        <v>-1034.6554475395553</v>
      </c>
      <c r="AH28" s="10">
        <f t="shared" si="42"/>
        <v>-231.9442763413657</v>
      </c>
      <c r="AI28" s="10">
        <f t="shared" si="43"/>
        <v>1070612.8951232776</v>
      </c>
      <c r="AJ28" s="10">
        <f t="shared" si="44"/>
        <v>-4340182.734372209</v>
      </c>
      <c r="AK28">
        <f t="shared" si="2"/>
        <v>-300</v>
      </c>
      <c r="AL28">
        <f t="shared" si="3"/>
        <v>-300</v>
      </c>
      <c r="AM28" s="10">
        <f t="shared" si="4"/>
        <v>-59501.00000000001</v>
      </c>
      <c r="AN28" s="10">
        <f t="shared" si="5"/>
        <v>-59501.00000000001</v>
      </c>
      <c r="AO28" s="21">
        <f t="shared" si="6"/>
        <v>-81.60336692290267</v>
      </c>
      <c r="AP28" s="22">
        <f t="shared" si="7"/>
        <v>-81.60336692290267</v>
      </c>
      <c r="AQ28" s="22">
        <f t="shared" si="45"/>
        <v>-81.60336692290267</v>
      </c>
      <c r="AR28" s="23">
        <f t="shared" si="46"/>
        <v>-81.60336692290267</v>
      </c>
      <c r="AS28" s="28">
        <f t="shared" si="47"/>
      </c>
      <c r="AT28" s="22">
        <f t="shared" si="48"/>
      </c>
      <c r="AU28" s="22">
        <f t="shared" si="49"/>
      </c>
      <c r="AV28" s="23">
        <f t="shared" si="50"/>
      </c>
      <c r="AW28" s="31">
        <f t="shared" si="51"/>
        <v>0.16137946073521198</v>
      </c>
      <c r="AX28" s="21">
        <f t="shared" si="52"/>
        <v>-81.60336692290267</v>
      </c>
      <c r="AY28" s="33">
        <f t="shared" si="53"/>
      </c>
      <c r="AZ28" s="22">
        <f t="shared" si="54"/>
        <v>-81.60336692290267</v>
      </c>
      <c r="BA28" s="34">
        <f t="shared" si="55"/>
      </c>
      <c r="BB28" s="21">
        <f t="shared" si="56"/>
        <v>-81.60336692290267</v>
      </c>
      <c r="BC28" s="33">
        <f t="shared" si="8"/>
      </c>
      <c r="BD28" s="33"/>
      <c r="BE28" s="34">
        <f t="shared" si="9"/>
      </c>
      <c r="BF28" s="37">
        <f t="shared" si="10"/>
        <v>0</v>
      </c>
      <c r="BG28" s="37">
        <f t="shared" si="11"/>
        <v>0</v>
      </c>
      <c r="BH28" s="38">
        <f t="shared" si="12"/>
        <v>-81.60336692290267</v>
      </c>
      <c r="BI28" s="38">
        <f t="shared" si="13"/>
        <v>-300</v>
      </c>
      <c r="BJ28" s="42">
        <f t="shared" si="57"/>
        <v>-34.65544753955542</v>
      </c>
      <c r="BK28" s="42">
        <f t="shared" si="58"/>
        <v>0</v>
      </c>
      <c r="BL28" s="43">
        <f t="shared" si="14"/>
        <v>-81.60336692290267</v>
      </c>
      <c r="BM28" s="43">
        <f t="shared" si="15"/>
        <v>-300</v>
      </c>
      <c r="BN28" s="42">
        <f t="shared" si="59"/>
        <v>1000</v>
      </c>
      <c r="BO28" s="42">
        <f t="shared" si="60"/>
        <v>-51</v>
      </c>
      <c r="BP28" s="42">
        <f t="shared" si="16"/>
      </c>
      <c r="BQ28" s="42">
        <f t="shared" si="17"/>
      </c>
      <c r="BR28" s="42">
        <f t="shared" si="18"/>
      </c>
      <c r="BS28" s="42">
        <f t="shared" si="19"/>
      </c>
      <c r="BT28" s="42">
        <f t="shared" si="20"/>
      </c>
      <c r="BU28" s="42">
        <f t="shared" si="21"/>
      </c>
      <c r="BV28" s="42">
        <f t="shared" si="22"/>
      </c>
      <c r="BW28" s="42">
        <f t="shared" si="23"/>
      </c>
      <c r="BX28" s="42">
        <f t="shared" si="24"/>
      </c>
      <c r="BY28" s="45">
        <f t="shared" si="25"/>
        <v>-81.60336692290267</v>
      </c>
      <c r="BZ28" s="46">
        <f t="shared" si="26"/>
        <v>-300</v>
      </c>
      <c r="CA28" s="54">
        <f t="shared" si="27"/>
      </c>
      <c r="CB28" s="54">
        <f t="shared" si="28"/>
      </c>
      <c r="CC28" s="54">
        <f t="shared" si="29"/>
      </c>
      <c r="CD28" s="54">
        <f t="shared" si="30"/>
      </c>
      <c r="CE28" s="54">
        <f t="shared" si="31"/>
      </c>
      <c r="CF28" s="55">
        <f t="shared" si="32"/>
      </c>
      <c r="CG28" s="55">
        <f t="shared" si="33"/>
      </c>
      <c r="CH28">
        <f t="shared" si="34"/>
        <v>-81.60336692290267</v>
      </c>
      <c r="CI28">
        <f t="shared" si="35"/>
        <v>-300</v>
      </c>
    </row>
    <row r="29" spans="1:87" ht="13.5">
      <c r="A29" s="9">
        <v>0.2</v>
      </c>
      <c r="B29" s="7">
        <f t="shared" si="61"/>
        <v>-50</v>
      </c>
      <c r="C29" s="7">
        <f t="shared" si="62"/>
        <v>-86</v>
      </c>
      <c r="D29" s="1">
        <f t="shared" si="63"/>
        <v>28.246073706347588</v>
      </c>
      <c r="E29">
        <f t="shared" si="86"/>
        <v>300</v>
      </c>
      <c r="F29">
        <f t="shared" si="64"/>
        <v>-12.295933395386918</v>
      </c>
      <c r="G29">
        <f t="shared" si="65"/>
        <v>100</v>
      </c>
      <c r="H29">
        <f t="shared" si="86"/>
        <v>100</v>
      </c>
      <c r="I29">
        <f t="shared" si="84"/>
        <v>1.515</v>
      </c>
      <c r="J29">
        <f t="shared" si="67"/>
        <v>0.1748027841252915</v>
      </c>
      <c r="K29">
        <f t="shared" si="37"/>
        <v>0.17753622654708118</v>
      </c>
      <c r="L29" s="7">
        <f t="shared" si="68"/>
        <v>2.517380896159133</v>
      </c>
      <c r="M29" s="7">
        <f t="shared" si="69"/>
        <v>-1241.8629841596728</v>
      </c>
      <c r="N29" s="43">
        <f t="shared" si="70"/>
        <v>-101.48834901920283</v>
      </c>
      <c r="O29" s="43">
        <f t="shared" si="71"/>
        <v>-340</v>
      </c>
      <c r="P29" s="43">
        <f t="shared" si="72"/>
        <v>-99.50809240499564</v>
      </c>
      <c r="Q29" s="43">
        <f t="shared" si="73"/>
        <v>-340</v>
      </c>
      <c r="R29" s="2">
        <f t="shared" si="74"/>
        <v>-30.586680332046967</v>
      </c>
      <c r="S29">
        <f t="shared" si="87"/>
        <v>0</v>
      </c>
      <c r="T29">
        <f t="shared" si="88"/>
        <v>1.333</v>
      </c>
      <c r="U29">
        <f t="shared" si="85"/>
        <v>1.333</v>
      </c>
      <c r="V29">
        <f t="shared" si="0"/>
        <v>0.19866933079506122</v>
      </c>
      <c r="W29" s="7">
        <f t="shared" si="1"/>
        <v>0.19999999999999998</v>
      </c>
      <c r="X29">
        <f t="shared" si="38"/>
        <v>0.20271003550867248</v>
      </c>
      <c r="Y29" s="10">
        <f t="shared" si="39"/>
        <v>0.19999999999999998</v>
      </c>
      <c r="Z29">
        <f t="shared" si="78"/>
        <v>-89.41943437044152</v>
      </c>
      <c r="AA29">
        <f t="shared" si="79"/>
        <v>-300</v>
      </c>
      <c r="AB29" s="7">
        <f t="shared" si="80"/>
        <v>1000</v>
      </c>
      <c r="AC29">
        <f t="shared" si="81"/>
        <v>-51</v>
      </c>
      <c r="AD29">
        <f t="shared" si="82"/>
        <v>1.375</v>
      </c>
      <c r="AE29">
        <f t="shared" si="83"/>
        <v>49.9999999999999</v>
      </c>
      <c r="AF29" s="10">
        <f t="shared" si="40"/>
        <v>1.0410913584959272</v>
      </c>
      <c r="AG29" s="10">
        <f t="shared" si="41"/>
        <v>-1030.5866803320469</v>
      </c>
      <c r="AH29" s="10">
        <f t="shared" si="42"/>
        <v>-315.8205251297482</v>
      </c>
      <c r="AI29" s="10">
        <f t="shared" si="43"/>
        <v>1062209.9056778285</v>
      </c>
      <c r="AJ29" s="10">
        <f t="shared" si="44"/>
        <v>-4323687.610746614</v>
      </c>
      <c r="AK29">
        <f t="shared" si="2"/>
        <v>-300</v>
      </c>
      <c r="AL29">
        <f t="shared" si="3"/>
        <v>-300</v>
      </c>
      <c r="AM29" s="10">
        <f t="shared" si="4"/>
        <v>-59501.00000000001</v>
      </c>
      <c r="AN29" s="10">
        <f t="shared" si="5"/>
        <v>-59501.00000000001</v>
      </c>
      <c r="AO29" s="21">
        <f t="shared" si="6"/>
        <v>-89.41943437044152</v>
      </c>
      <c r="AP29" s="22">
        <f t="shared" si="7"/>
        <v>-89.41943437044152</v>
      </c>
      <c r="AQ29" s="22">
        <f t="shared" si="45"/>
        <v>-89.41943437044152</v>
      </c>
      <c r="AR29" s="23">
        <f t="shared" si="46"/>
        <v>-89.41943437044152</v>
      </c>
      <c r="AS29" s="28">
        <f t="shared" si="47"/>
      </c>
      <c r="AT29" s="22">
        <f t="shared" si="48"/>
      </c>
      <c r="AU29" s="22">
        <f t="shared" si="49"/>
      </c>
      <c r="AV29" s="23">
        <f t="shared" si="50"/>
      </c>
      <c r="AW29" s="31">
        <f t="shared" si="51"/>
        <v>0.20271003550867248</v>
      </c>
      <c r="AX29" s="21">
        <f t="shared" si="52"/>
        <v>-89.41943437044152</v>
      </c>
      <c r="AY29" s="33">
        <f t="shared" si="53"/>
      </c>
      <c r="AZ29" s="22">
        <f t="shared" si="54"/>
        <v>-89.41943437044152</v>
      </c>
      <c r="BA29" s="34">
        <f t="shared" si="55"/>
      </c>
      <c r="BB29" s="21">
        <f t="shared" si="56"/>
        <v>-89.41943437044152</v>
      </c>
      <c r="BC29" s="33">
        <f t="shared" si="8"/>
      </c>
      <c r="BD29" s="33"/>
      <c r="BE29" s="34">
        <f t="shared" si="9"/>
      </c>
      <c r="BF29" s="37">
        <f t="shared" si="10"/>
        <v>0</v>
      </c>
      <c r="BG29" s="37">
        <f t="shared" si="11"/>
        <v>0</v>
      </c>
      <c r="BH29" s="38">
        <f t="shared" si="12"/>
        <v>-89.41943437044152</v>
      </c>
      <c r="BI29" s="38">
        <f t="shared" si="13"/>
        <v>-300</v>
      </c>
      <c r="BJ29" s="42">
        <f t="shared" si="57"/>
        <v>-30.586680332046967</v>
      </c>
      <c r="BK29" s="42">
        <f t="shared" si="58"/>
        <v>0</v>
      </c>
      <c r="BL29" s="43">
        <f t="shared" si="14"/>
        <v>-89.41943437044152</v>
      </c>
      <c r="BM29" s="43">
        <f t="shared" si="15"/>
        <v>-300</v>
      </c>
      <c r="BN29" s="42">
        <f t="shared" si="59"/>
        <v>1000</v>
      </c>
      <c r="BO29" s="42">
        <f t="shared" si="60"/>
        <v>-51</v>
      </c>
      <c r="BP29" s="42">
        <f t="shared" si="16"/>
      </c>
      <c r="BQ29" s="42">
        <f t="shared" si="17"/>
      </c>
      <c r="BR29" s="42">
        <f t="shared" si="18"/>
      </c>
      <c r="BS29" s="42">
        <f t="shared" si="19"/>
      </c>
      <c r="BT29" s="42">
        <f t="shared" si="20"/>
      </c>
      <c r="BU29" s="42">
        <f t="shared" si="21"/>
      </c>
      <c r="BV29" s="42">
        <f t="shared" si="22"/>
      </c>
      <c r="BW29" s="42">
        <f t="shared" si="23"/>
      </c>
      <c r="BX29" s="42">
        <f t="shared" si="24"/>
      </c>
      <c r="BY29" s="45">
        <f t="shared" si="25"/>
        <v>-89.41943437044152</v>
      </c>
      <c r="BZ29" s="46">
        <f t="shared" si="26"/>
        <v>-300</v>
      </c>
      <c r="CA29" s="54">
        <f t="shared" si="27"/>
      </c>
      <c r="CB29" s="54">
        <f t="shared" si="28"/>
      </c>
      <c r="CC29" s="54">
        <f t="shared" si="29"/>
      </c>
      <c r="CD29" s="54">
        <f t="shared" si="30"/>
      </c>
      <c r="CE29" s="54">
        <f t="shared" si="31"/>
      </c>
      <c r="CF29" s="55">
        <f t="shared" si="32"/>
      </c>
      <c r="CG29" s="55">
        <f t="shared" si="33"/>
      </c>
      <c r="CH29">
        <f t="shared" si="34"/>
        <v>-89.41943437044152</v>
      </c>
      <c r="CI29">
        <f t="shared" si="35"/>
        <v>-300</v>
      </c>
    </row>
    <row r="30" spans="1:87" ht="13.5">
      <c r="A30" s="9">
        <v>0.24</v>
      </c>
      <c r="B30" s="7">
        <f t="shared" si="61"/>
        <v>-50</v>
      </c>
      <c r="C30" s="7">
        <f t="shared" si="62"/>
        <v>-86</v>
      </c>
      <c r="D30" s="1">
        <f t="shared" si="63"/>
        <v>44.460647247783484</v>
      </c>
      <c r="E30">
        <f t="shared" si="86"/>
        <v>300</v>
      </c>
      <c r="F30">
        <f t="shared" si="64"/>
        <v>-4.482693295109513</v>
      </c>
      <c r="G30">
        <f t="shared" si="65"/>
        <v>100</v>
      </c>
      <c r="H30">
        <f t="shared" si="86"/>
        <v>100</v>
      </c>
      <c r="I30">
        <f t="shared" si="84"/>
        <v>1.515</v>
      </c>
      <c r="J30">
        <f t="shared" si="67"/>
        <v>0.20914693137120158</v>
      </c>
      <c r="K30">
        <f t="shared" si="37"/>
        <v>0.2138769862845012</v>
      </c>
      <c r="L30" s="7">
        <f t="shared" si="68"/>
        <v>3.0839716429963775</v>
      </c>
      <c r="M30" s="7">
        <f t="shared" si="69"/>
        <v>-1260.22114910348</v>
      </c>
      <c r="N30" s="43">
        <f t="shared" si="70"/>
        <v>-112.15804248947408</v>
      </c>
      <c r="O30" s="43">
        <f t="shared" si="71"/>
        <v>-340</v>
      </c>
      <c r="P30" s="43">
        <f t="shared" si="72"/>
        <v>-109.64066159331495</v>
      </c>
      <c r="Q30" s="43">
        <f t="shared" si="73"/>
        <v>-340</v>
      </c>
      <c r="R30" s="2">
        <f t="shared" si="74"/>
        <v>-26.43698267039688</v>
      </c>
      <c r="S30">
        <f t="shared" si="87"/>
        <v>0</v>
      </c>
      <c r="T30">
        <f t="shared" si="88"/>
        <v>1.333</v>
      </c>
      <c r="U30">
        <f t="shared" si="85"/>
        <v>1.333</v>
      </c>
      <c r="V30">
        <f t="shared" si="0"/>
        <v>0.23770262642713458</v>
      </c>
      <c r="W30" s="7">
        <f t="shared" si="1"/>
        <v>0.23999999999999996</v>
      </c>
      <c r="X30">
        <f t="shared" si="38"/>
        <v>0.24471670271446494</v>
      </c>
      <c r="Y30" s="10">
        <f t="shared" si="39"/>
        <v>0.23999999999999996</v>
      </c>
      <c r="Z30">
        <f t="shared" si="78"/>
        <v>-97.33461258857723</v>
      </c>
      <c r="AA30">
        <f t="shared" si="79"/>
        <v>-300</v>
      </c>
      <c r="AB30" s="7">
        <f t="shared" si="80"/>
        <v>1000</v>
      </c>
      <c r="AC30">
        <f t="shared" si="81"/>
        <v>-51</v>
      </c>
      <c r="AD30">
        <f t="shared" si="82"/>
        <v>1.375</v>
      </c>
      <c r="AE30">
        <f t="shared" si="83"/>
        <v>49.9999999999999</v>
      </c>
      <c r="AF30" s="10">
        <f t="shared" si="40"/>
        <v>1.0598862645874398</v>
      </c>
      <c r="AG30" s="10">
        <f t="shared" si="41"/>
        <v>-1026.436982670397</v>
      </c>
      <c r="AH30" s="10">
        <f t="shared" si="42"/>
        <v>-400.3725478865678</v>
      </c>
      <c r="AI30" s="10">
        <f t="shared" si="43"/>
        <v>1053673.8793935087</v>
      </c>
      <c r="AJ30" s="10">
        <f t="shared" si="44"/>
        <v>-4306799.711393788</v>
      </c>
      <c r="AK30">
        <f t="shared" si="2"/>
        <v>-300</v>
      </c>
      <c r="AL30">
        <f t="shared" si="3"/>
        <v>-300</v>
      </c>
      <c r="AM30" s="10">
        <f t="shared" si="4"/>
        <v>-59501.00000000001</v>
      </c>
      <c r="AN30" s="10">
        <f t="shared" si="5"/>
        <v>-59501.00000000001</v>
      </c>
      <c r="AO30" s="21">
        <f t="shared" si="6"/>
        <v>-97.33461258857723</v>
      </c>
      <c r="AP30" s="22">
        <f t="shared" si="7"/>
        <v>-97.33461258857723</v>
      </c>
      <c r="AQ30" s="22">
        <f t="shared" si="45"/>
        <v>-97.33461258857723</v>
      </c>
      <c r="AR30" s="23">
        <f t="shared" si="46"/>
        <v>-97.33461258857723</v>
      </c>
      <c r="AS30" s="28">
        <f t="shared" si="47"/>
      </c>
      <c r="AT30" s="22">
        <f t="shared" si="48"/>
      </c>
      <c r="AU30" s="22">
        <f t="shared" si="49"/>
      </c>
      <c r="AV30" s="23">
        <f t="shared" si="50"/>
      </c>
      <c r="AW30" s="31">
        <f t="shared" si="51"/>
        <v>0.24471670271446494</v>
      </c>
      <c r="AX30" s="21">
        <f t="shared" si="52"/>
        <v>-97.33461258857723</v>
      </c>
      <c r="AY30" s="33">
        <f t="shared" si="53"/>
      </c>
      <c r="AZ30" s="22">
        <f t="shared" si="54"/>
        <v>-97.33461258857723</v>
      </c>
      <c r="BA30" s="34">
        <f t="shared" si="55"/>
      </c>
      <c r="BB30" s="21">
        <f t="shared" si="56"/>
        <v>-97.33461258857723</v>
      </c>
      <c r="BC30" s="33">
        <f t="shared" si="8"/>
      </c>
      <c r="BD30" s="33"/>
      <c r="BE30" s="34">
        <f t="shared" si="9"/>
      </c>
      <c r="BF30" s="37">
        <f t="shared" si="10"/>
        <v>0</v>
      </c>
      <c r="BG30" s="37">
        <f t="shared" si="11"/>
        <v>0</v>
      </c>
      <c r="BH30" s="38">
        <f t="shared" si="12"/>
        <v>-97.33461258857723</v>
      </c>
      <c r="BI30" s="38">
        <f t="shared" si="13"/>
        <v>-300</v>
      </c>
      <c r="BJ30" s="42">
        <f t="shared" si="57"/>
        <v>-26.43698267039688</v>
      </c>
      <c r="BK30" s="42">
        <f t="shared" si="58"/>
        <v>0</v>
      </c>
      <c r="BL30" s="43">
        <f t="shared" si="14"/>
        <v>-97.33461258857723</v>
      </c>
      <c r="BM30" s="43">
        <f t="shared" si="15"/>
        <v>-300</v>
      </c>
      <c r="BN30" s="42">
        <f t="shared" si="59"/>
        <v>1000</v>
      </c>
      <c r="BO30" s="42">
        <f t="shared" si="60"/>
        <v>-51</v>
      </c>
      <c r="BP30" s="42">
        <f t="shared" si="16"/>
      </c>
      <c r="BQ30" s="42">
        <f t="shared" si="17"/>
      </c>
      <c r="BR30" s="42">
        <f t="shared" si="18"/>
      </c>
      <c r="BS30" s="42">
        <f t="shared" si="19"/>
      </c>
      <c r="BT30" s="42">
        <f t="shared" si="20"/>
      </c>
      <c r="BU30" s="42">
        <f t="shared" si="21"/>
      </c>
      <c r="BV30" s="42">
        <f t="shared" si="22"/>
      </c>
      <c r="BW30" s="42">
        <f t="shared" si="23"/>
      </c>
      <c r="BX30" s="42">
        <f t="shared" si="24"/>
      </c>
      <c r="BY30" s="45">
        <f t="shared" si="25"/>
        <v>-97.33461258857723</v>
      </c>
      <c r="BZ30" s="46">
        <f t="shared" si="26"/>
        <v>-300</v>
      </c>
      <c r="CA30" s="54">
        <f t="shared" si="27"/>
      </c>
      <c r="CB30" s="54">
        <f t="shared" si="28"/>
      </c>
      <c r="CC30" s="54">
        <f t="shared" si="29"/>
      </c>
      <c r="CD30" s="54">
        <f t="shared" si="30"/>
      </c>
      <c r="CE30" s="54">
        <f t="shared" si="31"/>
      </c>
      <c r="CF30" s="55">
        <f t="shared" si="32"/>
      </c>
      <c r="CG30" s="55">
        <f t="shared" si="33"/>
      </c>
      <c r="CH30">
        <f t="shared" si="34"/>
        <v>-97.33461258857723</v>
      </c>
      <c r="CI30">
        <f t="shared" si="35"/>
        <v>-300</v>
      </c>
    </row>
    <row r="31" spans="1:87" ht="13.5">
      <c r="A31" s="9">
        <v>0.28</v>
      </c>
      <c r="B31" s="7">
        <f t="shared" si="61"/>
        <v>-50</v>
      </c>
      <c r="C31" s="7">
        <f t="shared" si="62"/>
        <v>-86</v>
      </c>
      <c r="D31" s="1">
        <f t="shared" si="63"/>
        <v>60.99596973640307</v>
      </c>
      <c r="E31">
        <f t="shared" si="86"/>
        <v>300</v>
      </c>
      <c r="F31">
        <f t="shared" si="64"/>
        <v>3.485104588007701</v>
      </c>
      <c r="G31">
        <f t="shared" si="65"/>
        <v>100</v>
      </c>
      <c r="H31">
        <f t="shared" si="86"/>
        <v>100</v>
      </c>
      <c r="I31">
        <f t="shared" si="84"/>
        <v>1.515</v>
      </c>
      <c r="J31">
        <f t="shared" si="67"/>
        <v>0.24315648814255028</v>
      </c>
      <c r="K31">
        <f t="shared" si="37"/>
        <v>0.25068013259967575</v>
      </c>
      <c r="L31" s="7">
        <f t="shared" si="68"/>
        <v>3.6874193142301115</v>
      </c>
      <c r="M31" s="7">
        <f t="shared" si="69"/>
        <v>-1282.338321538185</v>
      </c>
      <c r="N31" s="43">
        <f t="shared" si="70"/>
        <v>-123.03879873846212</v>
      </c>
      <c r="O31" s="43">
        <f t="shared" si="71"/>
        <v>-340</v>
      </c>
      <c r="P31" s="43">
        <f t="shared" si="72"/>
        <v>-119.95482709546575</v>
      </c>
      <c r="Q31" s="43">
        <f t="shared" si="73"/>
        <v>-340</v>
      </c>
      <c r="R31" s="2">
        <f t="shared" si="74"/>
        <v>-22.186356343193612</v>
      </c>
      <c r="S31">
        <f t="shared" si="87"/>
        <v>0</v>
      </c>
      <c r="T31">
        <f t="shared" si="88"/>
        <v>1.333</v>
      </c>
      <c r="U31">
        <f t="shared" si="85"/>
        <v>1.333</v>
      </c>
      <c r="V31">
        <f t="shared" si="0"/>
        <v>0.27635564856411376</v>
      </c>
      <c r="W31" s="7">
        <f t="shared" si="1"/>
        <v>0.28</v>
      </c>
      <c r="X31">
        <f t="shared" si="38"/>
        <v>0.28755432574197687</v>
      </c>
      <c r="Y31" s="10">
        <f t="shared" si="39"/>
        <v>0.28</v>
      </c>
      <c r="Z31">
        <f t="shared" si="78"/>
        <v>-105.3686824227903</v>
      </c>
      <c r="AA31">
        <f t="shared" si="79"/>
        <v>-300</v>
      </c>
      <c r="AB31" s="7">
        <f t="shared" si="80"/>
        <v>1000</v>
      </c>
      <c r="AC31">
        <f t="shared" si="81"/>
        <v>-51</v>
      </c>
      <c r="AD31">
        <f t="shared" si="82"/>
        <v>1.375</v>
      </c>
      <c r="AE31">
        <f t="shared" si="83"/>
        <v>49.9999999999999</v>
      </c>
      <c r="AF31" s="10">
        <f t="shared" si="40"/>
        <v>1.0826874902529229</v>
      </c>
      <c r="AG31" s="10">
        <f t="shared" si="41"/>
        <v>-1022.1863563431937</v>
      </c>
      <c r="AH31" s="10">
        <f t="shared" si="42"/>
        <v>-485.8682169618303</v>
      </c>
      <c r="AI31" s="10">
        <f t="shared" si="43"/>
        <v>1044965.9470941745</v>
      </c>
      <c r="AJ31" s="10">
        <f t="shared" si="44"/>
        <v>-4289418.3103829725</v>
      </c>
      <c r="AK31">
        <f t="shared" si="2"/>
        <v>-300</v>
      </c>
      <c r="AL31">
        <f t="shared" si="3"/>
        <v>-300</v>
      </c>
      <c r="AM31" s="10">
        <f t="shared" si="4"/>
        <v>-59501.00000000001</v>
      </c>
      <c r="AN31" s="10">
        <f t="shared" si="5"/>
        <v>-59501.00000000001</v>
      </c>
      <c r="AO31" s="21">
        <f t="shared" si="6"/>
        <v>-105.3686824227903</v>
      </c>
      <c r="AP31" s="22">
        <f t="shared" si="7"/>
        <v>-105.3686824227903</v>
      </c>
      <c r="AQ31" s="22">
        <f t="shared" si="45"/>
        <v>-105.3686824227903</v>
      </c>
      <c r="AR31" s="23">
        <f t="shared" si="46"/>
        <v>-105.3686824227903</v>
      </c>
      <c r="AS31" s="28">
        <f t="shared" si="47"/>
      </c>
      <c r="AT31" s="22">
        <f t="shared" si="48"/>
      </c>
      <c r="AU31" s="22">
        <f t="shared" si="49"/>
      </c>
      <c r="AV31" s="23">
        <f t="shared" si="50"/>
      </c>
      <c r="AW31" s="31">
        <f t="shared" si="51"/>
        <v>0.28755432574197687</v>
      </c>
      <c r="AX31" s="21">
        <f t="shared" si="52"/>
        <v>-105.3686824227903</v>
      </c>
      <c r="AY31" s="33">
        <f t="shared" si="53"/>
      </c>
      <c r="AZ31" s="22">
        <f t="shared" si="54"/>
        <v>-105.3686824227903</v>
      </c>
      <c r="BA31" s="34">
        <f t="shared" si="55"/>
      </c>
      <c r="BB31" s="21">
        <f t="shared" si="56"/>
        <v>-105.3686824227903</v>
      </c>
      <c r="BC31" s="33">
        <f t="shared" si="8"/>
      </c>
      <c r="BD31" s="33"/>
      <c r="BE31" s="34">
        <f t="shared" si="9"/>
      </c>
      <c r="BF31" s="37">
        <f t="shared" si="10"/>
        <v>0</v>
      </c>
      <c r="BG31" s="37">
        <f t="shared" si="11"/>
        <v>0</v>
      </c>
      <c r="BH31" s="38">
        <f t="shared" si="12"/>
        <v>-105.3686824227903</v>
      </c>
      <c r="BI31" s="38">
        <f t="shared" si="13"/>
        <v>-300</v>
      </c>
      <c r="BJ31" s="42">
        <f t="shared" si="57"/>
        <v>-22.186356343193612</v>
      </c>
      <c r="BK31" s="42">
        <f t="shared" si="58"/>
        <v>0</v>
      </c>
      <c r="BL31" s="43">
        <f t="shared" si="14"/>
        <v>-105.3686824227903</v>
      </c>
      <c r="BM31" s="43">
        <f t="shared" si="15"/>
        <v>-300</v>
      </c>
      <c r="BN31" s="42">
        <f t="shared" si="59"/>
        <v>1000</v>
      </c>
      <c r="BO31" s="42">
        <f t="shared" si="60"/>
        <v>-51</v>
      </c>
      <c r="BP31" s="42">
        <f t="shared" si="16"/>
      </c>
      <c r="BQ31" s="42">
        <f t="shared" si="17"/>
      </c>
      <c r="BR31" s="42">
        <f t="shared" si="18"/>
      </c>
      <c r="BS31" s="42">
        <f t="shared" si="19"/>
      </c>
      <c r="BT31" s="42">
        <f t="shared" si="20"/>
      </c>
      <c r="BU31" s="42">
        <f t="shared" si="21"/>
      </c>
      <c r="BV31" s="42">
        <f t="shared" si="22"/>
      </c>
      <c r="BW31" s="42">
        <f t="shared" si="23"/>
      </c>
      <c r="BX31" s="42">
        <f t="shared" si="24"/>
      </c>
      <c r="BY31" s="45">
        <f t="shared" si="25"/>
        <v>-105.3686824227903</v>
      </c>
      <c r="BZ31" s="46">
        <f t="shared" si="26"/>
        <v>-300</v>
      </c>
      <c r="CA31" s="54">
        <f t="shared" si="27"/>
      </c>
      <c r="CB31" s="54">
        <f t="shared" si="28"/>
      </c>
      <c r="CC31" s="54">
        <f t="shared" si="29"/>
      </c>
      <c r="CD31" s="54">
        <f t="shared" si="30"/>
      </c>
      <c r="CE31" s="54">
        <f t="shared" si="31"/>
      </c>
      <c r="CF31" s="55">
        <f t="shared" si="32"/>
      </c>
      <c r="CG31" s="55">
        <f t="shared" si="33"/>
      </c>
      <c r="CH31">
        <f t="shared" si="34"/>
        <v>-105.3686824227903</v>
      </c>
      <c r="CI31">
        <f t="shared" si="35"/>
        <v>-300</v>
      </c>
    </row>
    <row r="32" spans="1:87" ht="13.5">
      <c r="A32" s="9">
        <v>0.32</v>
      </c>
      <c r="B32" s="7">
        <f t="shared" si="61"/>
        <v>-50</v>
      </c>
      <c r="C32" s="7">
        <f t="shared" si="62"/>
        <v>-86</v>
      </c>
      <c r="D32" s="1">
        <f t="shared" si="63"/>
        <v>77.91631041655458</v>
      </c>
      <c r="E32">
        <f t="shared" si="86"/>
        <v>300</v>
      </c>
      <c r="F32">
        <f t="shared" si="64"/>
        <v>11.638429371707645</v>
      </c>
      <c r="G32">
        <f t="shared" si="65"/>
        <v>100</v>
      </c>
      <c r="H32">
        <f t="shared" si="86"/>
        <v>100</v>
      </c>
      <c r="I32">
        <f t="shared" si="84"/>
        <v>1.515</v>
      </c>
      <c r="J32">
        <f t="shared" si="67"/>
        <v>0.27677704640348844</v>
      </c>
      <c r="K32">
        <f t="shared" si="37"/>
        <v>0.2880291459250229</v>
      </c>
      <c r="L32" s="7">
        <f t="shared" si="68"/>
        <v>4.336025929921178</v>
      </c>
      <c r="M32" s="7">
        <f t="shared" si="69"/>
        <v>-1308.4383090000133</v>
      </c>
      <c r="N32" s="43">
        <f t="shared" si="70"/>
        <v>-134.1729089269556</v>
      </c>
      <c r="O32" s="43">
        <f t="shared" si="71"/>
        <v>-340</v>
      </c>
      <c r="P32" s="43">
        <f t="shared" si="72"/>
        <v>-130.4854896127255</v>
      </c>
      <c r="Q32" s="43">
        <f t="shared" si="73"/>
        <v>-340</v>
      </c>
      <c r="R32" s="2">
        <f t="shared" si="74"/>
        <v>-17.813091836485707</v>
      </c>
      <c r="S32">
        <f t="shared" si="87"/>
        <v>0</v>
      </c>
      <c r="T32">
        <f t="shared" si="88"/>
        <v>1.333</v>
      </c>
      <c r="U32">
        <f t="shared" si="85"/>
        <v>1.333</v>
      </c>
      <c r="V32">
        <f t="shared" si="0"/>
        <v>0.31456656061611776</v>
      </c>
      <c r="W32" s="7">
        <f t="shared" si="1"/>
        <v>0.32</v>
      </c>
      <c r="X32">
        <f t="shared" si="38"/>
        <v>0.33138940522423466</v>
      </c>
      <c r="Y32" s="10">
        <f t="shared" si="39"/>
        <v>0.32</v>
      </c>
      <c r="Z32">
        <f t="shared" si="78"/>
        <v>-113.542494089526</v>
      </c>
      <c r="AA32">
        <f t="shared" si="79"/>
        <v>-300</v>
      </c>
      <c r="AB32" s="7">
        <f t="shared" si="80"/>
        <v>1000</v>
      </c>
      <c r="AC32">
        <f t="shared" si="81"/>
        <v>-51</v>
      </c>
      <c r="AD32">
        <f t="shared" si="82"/>
        <v>1.375</v>
      </c>
      <c r="AE32">
        <f t="shared" si="83"/>
        <v>49.9999999999999</v>
      </c>
      <c r="AF32" s="10">
        <f t="shared" si="40"/>
        <v>1.109818937894872</v>
      </c>
      <c r="AG32" s="10">
        <f t="shared" si="41"/>
        <v>-1017.8130918364857</v>
      </c>
      <c r="AH32" s="10">
        <f t="shared" si="42"/>
        <v>-572.5849502662646</v>
      </c>
      <c r="AI32" s="10">
        <f t="shared" si="43"/>
        <v>1036044.4899137465</v>
      </c>
      <c r="AJ32" s="10">
        <f t="shared" si="44"/>
        <v>-4271433.656360214</v>
      </c>
      <c r="AK32">
        <f t="shared" si="2"/>
        <v>-300</v>
      </c>
      <c r="AL32">
        <f t="shared" si="3"/>
        <v>-300</v>
      </c>
      <c r="AM32" s="10">
        <f t="shared" si="4"/>
        <v>-59501.00000000001</v>
      </c>
      <c r="AN32" s="10">
        <f t="shared" si="5"/>
        <v>-59501.00000000001</v>
      </c>
      <c r="AO32" s="21">
        <f t="shared" si="6"/>
        <v>-113.542494089526</v>
      </c>
      <c r="AP32" s="22">
        <f t="shared" si="7"/>
        <v>-113.542494089526</v>
      </c>
      <c r="AQ32" s="22">
        <f t="shared" si="45"/>
        <v>-113.542494089526</v>
      </c>
      <c r="AR32" s="23">
        <f t="shared" si="46"/>
        <v>-113.542494089526</v>
      </c>
      <c r="AS32" s="28">
        <f t="shared" si="47"/>
      </c>
      <c r="AT32" s="22">
        <f t="shared" si="48"/>
      </c>
      <c r="AU32" s="22">
        <f t="shared" si="49"/>
      </c>
      <c r="AV32" s="23">
        <f t="shared" si="50"/>
      </c>
      <c r="AW32" s="31">
        <f t="shared" si="51"/>
        <v>0.33138940522423466</v>
      </c>
      <c r="AX32" s="21">
        <f t="shared" si="52"/>
        <v>-113.542494089526</v>
      </c>
      <c r="AY32" s="33">
        <f t="shared" si="53"/>
      </c>
      <c r="AZ32" s="22">
        <f t="shared" si="54"/>
        <v>-113.542494089526</v>
      </c>
      <c r="BA32" s="34">
        <f t="shared" si="55"/>
      </c>
      <c r="BB32" s="21">
        <f t="shared" si="56"/>
        <v>-113.542494089526</v>
      </c>
      <c r="BC32" s="33">
        <f t="shared" si="8"/>
      </c>
      <c r="BD32" s="33"/>
      <c r="BE32" s="34">
        <f t="shared" si="9"/>
      </c>
      <c r="BF32" s="37">
        <f t="shared" si="10"/>
        <v>0</v>
      </c>
      <c r="BG32" s="37">
        <f t="shared" si="11"/>
        <v>0</v>
      </c>
      <c r="BH32" s="38">
        <f t="shared" si="12"/>
        <v>-113.542494089526</v>
      </c>
      <c r="BI32" s="38">
        <f t="shared" si="13"/>
        <v>-300</v>
      </c>
      <c r="BJ32" s="42">
        <f t="shared" si="57"/>
        <v>-17.813091836485707</v>
      </c>
      <c r="BK32" s="42">
        <f t="shared" si="58"/>
        <v>0</v>
      </c>
      <c r="BL32" s="43">
        <f t="shared" si="14"/>
        <v>-113.542494089526</v>
      </c>
      <c r="BM32" s="43">
        <f t="shared" si="15"/>
        <v>-300</v>
      </c>
      <c r="BN32" s="42">
        <f t="shared" si="59"/>
        <v>1000</v>
      </c>
      <c r="BO32" s="42">
        <f t="shared" si="60"/>
        <v>-51</v>
      </c>
      <c r="BP32" s="42">
        <f t="shared" si="16"/>
      </c>
      <c r="BQ32" s="42">
        <f t="shared" si="17"/>
      </c>
      <c r="BR32" s="42">
        <f t="shared" si="18"/>
      </c>
      <c r="BS32" s="42">
        <f t="shared" si="19"/>
      </c>
      <c r="BT32" s="42">
        <f t="shared" si="20"/>
      </c>
      <c r="BU32" s="42">
        <f t="shared" si="21"/>
      </c>
      <c r="BV32" s="42">
        <f t="shared" si="22"/>
      </c>
      <c r="BW32" s="42">
        <f t="shared" si="23"/>
      </c>
      <c r="BX32" s="42">
        <f t="shared" si="24"/>
      </c>
      <c r="BY32" s="45">
        <f t="shared" si="25"/>
        <v>-113.542494089526</v>
      </c>
      <c r="BZ32" s="46">
        <f t="shared" si="26"/>
        <v>-300</v>
      </c>
      <c r="CA32" s="54">
        <f t="shared" si="27"/>
      </c>
      <c r="CB32" s="54">
        <f t="shared" si="28"/>
      </c>
      <c r="CC32" s="54">
        <f t="shared" si="29"/>
      </c>
      <c r="CD32" s="54">
        <f t="shared" si="30"/>
      </c>
      <c r="CE32" s="54">
        <f t="shared" si="31"/>
      </c>
      <c r="CF32" s="55">
        <f t="shared" si="32"/>
      </c>
      <c r="CG32" s="55">
        <f t="shared" si="33"/>
      </c>
      <c r="CH32">
        <f t="shared" si="34"/>
        <v>-113.542494089526</v>
      </c>
      <c r="CI32">
        <f t="shared" si="35"/>
        <v>-300</v>
      </c>
    </row>
    <row r="33" spans="1:87" ht="13.5">
      <c r="A33" s="9">
        <v>0.36</v>
      </c>
      <c r="B33" s="7">
        <f t="shared" si="61"/>
        <v>-50</v>
      </c>
      <c r="C33" s="7">
        <f t="shared" si="62"/>
        <v>-86</v>
      </c>
      <c r="D33" s="1">
        <f t="shared" si="63"/>
        <v>95.2915007338224</v>
      </c>
      <c r="E33">
        <f t="shared" si="86"/>
        <v>300</v>
      </c>
      <c r="F33">
        <f t="shared" si="64"/>
        <v>20.010930405417014</v>
      </c>
      <c r="G33">
        <f t="shared" si="65"/>
        <v>100</v>
      </c>
      <c r="H33">
        <f t="shared" si="86"/>
        <v>100</v>
      </c>
      <c r="I33">
        <f t="shared" si="84"/>
        <v>1.515</v>
      </c>
      <c r="J33">
        <f t="shared" si="67"/>
        <v>0.3099548204328019</v>
      </c>
      <c r="K33">
        <f t="shared" si="37"/>
        <v>0.32601041381343787</v>
      </c>
      <c r="L33" s="7">
        <f t="shared" si="68"/>
        <v>5.03924378285891</v>
      </c>
      <c r="M33" s="7">
        <f t="shared" si="69"/>
        <v>-1338.7900120510822</v>
      </c>
      <c r="N33" s="43">
        <f t="shared" si="70"/>
        <v>-145.60632431707486</v>
      </c>
      <c r="O33" s="43">
        <f t="shared" si="71"/>
        <v>-340</v>
      </c>
      <c r="P33" s="43">
        <f t="shared" si="72"/>
        <v>-141.27029838715367</v>
      </c>
      <c r="Q33" s="43">
        <f t="shared" si="73"/>
        <v>-340</v>
      </c>
      <c r="R33" s="2">
        <f t="shared" si="74"/>
        <v>-13.293328828864503</v>
      </c>
      <c r="S33">
        <f t="shared" si="87"/>
        <v>0</v>
      </c>
      <c r="T33">
        <f t="shared" si="88"/>
        <v>1.333</v>
      </c>
      <c r="U33">
        <f t="shared" si="85"/>
        <v>1.333</v>
      </c>
      <c r="V33">
        <f t="shared" si="0"/>
        <v>0.35227423327508994</v>
      </c>
      <c r="W33" s="7">
        <f t="shared" si="1"/>
        <v>0.36</v>
      </c>
      <c r="X33">
        <f t="shared" si="38"/>
        <v>0.37640285164202697</v>
      </c>
      <c r="Y33" s="10">
        <f t="shared" si="39"/>
        <v>0.36</v>
      </c>
      <c r="Z33">
        <f t="shared" si="78"/>
        <v>-121.87815839155142</v>
      </c>
      <c r="AA33">
        <f t="shared" si="79"/>
        <v>-300</v>
      </c>
      <c r="AB33" s="7">
        <f t="shared" si="80"/>
        <v>1000</v>
      </c>
      <c r="AC33">
        <f t="shared" si="81"/>
        <v>-51</v>
      </c>
      <c r="AD33">
        <f t="shared" si="82"/>
        <v>1.375</v>
      </c>
      <c r="AE33">
        <f t="shared" si="83"/>
        <v>49.9999999999999</v>
      </c>
      <c r="AF33" s="10">
        <f t="shared" si="40"/>
        <v>1.1416791067242498</v>
      </c>
      <c r="AG33" s="10">
        <f t="shared" si="41"/>
        <v>-1013.2933288288646</v>
      </c>
      <c r="AH33" s="10">
        <f t="shared" si="42"/>
        <v>-660.8129970420536</v>
      </c>
      <c r="AI33" s="10">
        <f t="shared" si="43"/>
        <v>1026864.3702490814</v>
      </c>
      <c r="AJ33" s="10">
        <f t="shared" si="44"/>
        <v>-4252724.570752021</v>
      </c>
      <c r="AK33">
        <f t="shared" si="2"/>
        <v>-300</v>
      </c>
      <c r="AL33">
        <f t="shared" si="3"/>
        <v>-300</v>
      </c>
      <c r="AM33" s="10">
        <f t="shared" si="4"/>
        <v>-59501.00000000001</v>
      </c>
      <c r="AN33" s="10">
        <f t="shared" si="5"/>
        <v>-59501.00000000001</v>
      </c>
      <c r="AO33" s="21">
        <f t="shared" si="6"/>
        <v>-121.87815839155142</v>
      </c>
      <c r="AP33" s="22">
        <f t="shared" si="7"/>
        <v>-121.87815839155142</v>
      </c>
      <c r="AQ33" s="22">
        <f t="shared" si="45"/>
        <v>-121.87815839155142</v>
      </c>
      <c r="AR33" s="23">
        <f t="shared" si="46"/>
        <v>-121.87815839155142</v>
      </c>
      <c r="AS33" s="28">
        <f t="shared" si="47"/>
      </c>
      <c r="AT33" s="22">
        <f t="shared" si="48"/>
      </c>
      <c r="AU33" s="22">
        <f t="shared" si="49"/>
      </c>
      <c r="AV33" s="23">
        <f t="shared" si="50"/>
      </c>
      <c r="AW33" s="31">
        <f t="shared" si="51"/>
        <v>0.37640285164202697</v>
      </c>
      <c r="AX33" s="21">
        <f t="shared" si="52"/>
        <v>-121.87815839155142</v>
      </c>
      <c r="AY33" s="33">
        <f t="shared" si="53"/>
      </c>
      <c r="AZ33" s="22">
        <f t="shared" si="54"/>
        <v>-121.87815839155142</v>
      </c>
      <c r="BA33" s="34">
        <f t="shared" si="55"/>
      </c>
      <c r="BB33" s="21">
        <f t="shared" si="56"/>
        <v>-121.87815839155142</v>
      </c>
      <c r="BC33" s="33">
        <f t="shared" si="8"/>
      </c>
      <c r="BD33" s="33"/>
      <c r="BE33" s="34">
        <f t="shared" si="9"/>
      </c>
      <c r="BF33" s="37">
        <f t="shared" si="10"/>
        <v>0</v>
      </c>
      <c r="BG33" s="37">
        <f t="shared" si="11"/>
        <v>0</v>
      </c>
      <c r="BH33" s="38">
        <f t="shared" si="12"/>
        <v>-121.87815839155142</v>
      </c>
      <c r="BI33" s="38">
        <f t="shared" si="13"/>
        <v>-300</v>
      </c>
      <c r="BJ33" s="42">
        <f t="shared" si="57"/>
        <v>-13.293328828864503</v>
      </c>
      <c r="BK33" s="42">
        <f t="shared" si="58"/>
        <v>0</v>
      </c>
      <c r="BL33" s="43">
        <f t="shared" si="14"/>
        <v>-121.87815839155142</v>
      </c>
      <c r="BM33" s="43">
        <f t="shared" si="15"/>
        <v>-300</v>
      </c>
      <c r="BN33" s="42">
        <f t="shared" si="59"/>
        <v>1000</v>
      </c>
      <c r="BO33" s="42">
        <f t="shared" si="60"/>
        <v>-51</v>
      </c>
      <c r="BP33" s="42">
        <f t="shared" si="16"/>
      </c>
      <c r="BQ33" s="42">
        <f t="shared" si="17"/>
      </c>
      <c r="BR33" s="42">
        <f t="shared" si="18"/>
      </c>
      <c r="BS33" s="42">
        <f t="shared" si="19"/>
      </c>
      <c r="BT33" s="42">
        <f t="shared" si="20"/>
      </c>
      <c r="BU33" s="42">
        <f t="shared" si="21"/>
      </c>
      <c r="BV33" s="42">
        <f t="shared" si="22"/>
      </c>
      <c r="BW33" s="42">
        <f t="shared" si="23"/>
      </c>
      <c r="BX33" s="42">
        <f t="shared" si="24"/>
      </c>
      <c r="BY33" s="45">
        <f t="shared" si="25"/>
        <v>-121.87815839155142</v>
      </c>
      <c r="BZ33" s="46">
        <f t="shared" si="26"/>
        <v>-300</v>
      </c>
      <c r="CA33" s="54">
        <f t="shared" si="27"/>
      </c>
      <c r="CB33" s="54">
        <f t="shared" si="28"/>
      </c>
      <c r="CC33" s="54">
        <f t="shared" si="29"/>
      </c>
      <c r="CD33" s="54">
        <f t="shared" si="30"/>
      </c>
      <c r="CE33" s="54">
        <f t="shared" si="31"/>
      </c>
      <c r="CF33" s="55">
        <f t="shared" si="32"/>
      </c>
      <c r="CG33" s="55">
        <f t="shared" si="33"/>
      </c>
      <c r="CH33">
        <f t="shared" si="34"/>
        <v>-121.87815839155142</v>
      </c>
      <c r="CI33">
        <f t="shared" si="35"/>
        <v>-300</v>
      </c>
    </row>
    <row r="34" spans="1:87" ht="13.5">
      <c r="A34" s="9">
        <v>0.4</v>
      </c>
      <c r="B34" s="7">
        <f t="shared" si="61"/>
        <v>-50</v>
      </c>
      <c r="C34" s="7">
        <f t="shared" si="62"/>
        <v>-86</v>
      </c>
      <c r="D34" s="1">
        <f t="shared" si="63"/>
        <v>113.19818243293045</v>
      </c>
      <c r="E34">
        <f t="shared" si="86"/>
        <v>300</v>
      </c>
      <c r="F34">
        <f t="shared" si="64"/>
        <v>28.639538685298092</v>
      </c>
      <c r="G34">
        <f t="shared" si="65"/>
        <v>100</v>
      </c>
      <c r="H34">
        <f t="shared" si="86"/>
        <v>100</v>
      </c>
      <c r="I34">
        <f t="shared" si="84"/>
        <v>1.515</v>
      </c>
      <c r="J34">
        <f t="shared" si="67"/>
        <v>0.34263673286959156</v>
      </c>
      <c r="K34">
        <f t="shared" si="37"/>
        <v>0.3647135860934144</v>
      </c>
      <c r="L34" s="7">
        <f t="shared" si="68"/>
        <v>5.807963264474736</v>
      </c>
      <c r="M34" s="7">
        <f t="shared" si="69"/>
        <v>-1373.7124927899188</v>
      </c>
      <c r="N34" s="43">
        <f t="shared" si="70"/>
        <v>-157.3894775594931</v>
      </c>
      <c r="O34" s="43">
        <f t="shared" si="71"/>
        <v>-340</v>
      </c>
      <c r="P34" s="43">
        <f t="shared" si="72"/>
        <v>-152.35023377663418</v>
      </c>
      <c r="Q34" s="43">
        <f t="shared" si="73"/>
        <v>-340</v>
      </c>
      <c r="R34" s="2">
        <f t="shared" si="74"/>
        <v>-8.600539405659177</v>
      </c>
      <c r="S34">
        <f t="shared" si="87"/>
        <v>0</v>
      </c>
      <c r="T34">
        <f t="shared" si="88"/>
        <v>1.333</v>
      </c>
      <c r="U34">
        <f t="shared" si="85"/>
        <v>1.333</v>
      </c>
      <c r="V34">
        <f t="shared" si="0"/>
        <v>0.3894183423086506</v>
      </c>
      <c r="W34" s="7">
        <f t="shared" si="1"/>
        <v>0.40000000000000013</v>
      </c>
      <c r="X34">
        <f t="shared" si="38"/>
        <v>0.42279321873816195</v>
      </c>
      <c r="Y34" s="10">
        <f t="shared" si="39"/>
        <v>0.40000000000000013</v>
      </c>
      <c r="Z34">
        <f t="shared" si="78"/>
        <v>-130.39926124424886</v>
      </c>
      <c r="AA34">
        <f t="shared" si="79"/>
        <v>-300</v>
      </c>
      <c r="AB34" s="7">
        <f t="shared" si="80"/>
        <v>1000</v>
      </c>
      <c r="AC34">
        <f t="shared" si="81"/>
        <v>-51</v>
      </c>
      <c r="AD34">
        <f t="shared" si="82"/>
        <v>1.375</v>
      </c>
      <c r="AE34">
        <f t="shared" si="83"/>
        <v>49.9999999999999</v>
      </c>
      <c r="AF34" s="10">
        <f t="shared" si="40"/>
        <v>1.1787541058109752</v>
      </c>
      <c r="AG34" s="10">
        <f t="shared" si="41"/>
        <v>-1008.6005394056592</v>
      </c>
      <c r="AH34" s="10">
        <f t="shared" si="42"/>
        <v>-750.85893695273</v>
      </c>
      <c r="AI34" s="10">
        <f t="shared" si="43"/>
        <v>1017376.0480893868</v>
      </c>
      <c r="AJ34" s="10">
        <f t="shared" si="44"/>
        <v>-4233155.632154651</v>
      </c>
      <c r="AK34">
        <f t="shared" si="2"/>
        <v>-300</v>
      </c>
      <c r="AL34">
        <f t="shared" si="3"/>
        <v>-300</v>
      </c>
      <c r="AM34" s="10">
        <f t="shared" si="4"/>
        <v>-59501.00000000001</v>
      </c>
      <c r="AN34" s="10">
        <f t="shared" si="5"/>
        <v>-59501.00000000001</v>
      </c>
      <c r="AO34" s="21">
        <f t="shared" si="6"/>
        <v>-130.39926124424886</v>
      </c>
      <c r="AP34" s="22">
        <f t="shared" si="7"/>
        <v>-130.39926124424886</v>
      </c>
      <c r="AQ34" s="22">
        <f t="shared" si="45"/>
        <v>-130.39926124424886</v>
      </c>
      <c r="AR34" s="23">
        <f t="shared" si="46"/>
        <v>-130.39926124424886</v>
      </c>
      <c r="AS34" s="28">
        <f t="shared" si="47"/>
      </c>
      <c r="AT34" s="22">
        <f t="shared" si="48"/>
      </c>
      <c r="AU34" s="22">
        <f t="shared" si="49"/>
      </c>
      <c r="AV34" s="23">
        <f t="shared" si="50"/>
      </c>
      <c r="AW34" s="31">
        <f t="shared" si="51"/>
        <v>0.42279321873816195</v>
      </c>
      <c r="AX34" s="21">
        <f t="shared" si="52"/>
        <v>-130.39926124424886</v>
      </c>
      <c r="AY34" s="33">
        <f t="shared" si="53"/>
      </c>
      <c r="AZ34" s="22">
        <f t="shared" si="54"/>
        <v>-130.39926124424886</v>
      </c>
      <c r="BA34" s="34">
        <f t="shared" si="55"/>
      </c>
      <c r="BB34" s="21">
        <f t="shared" si="56"/>
        <v>-130.39926124424886</v>
      </c>
      <c r="BC34" s="33">
        <f t="shared" si="8"/>
      </c>
      <c r="BD34" s="33"/>
      <c r="BE34" s="34">
        <f t="shared" si="9"/>
      </c>
      <c r="BF34" s="37">
        <f t="shared" si="10"/>
        <v>0</v>
      </c>
      <c r="BG34" s="37">
        <f t="shared" si="11"/>
        <v>0</v>
      </c>
      <c r="BH34" s="38">
        <f t="shared" si="12"/>
        <v>-130.39926124424886</v>
      </c>
      <c r="BI34" s="38">
        <f t="shared" si="13"/>
        <v>-300</v>
      </c>
      <c r="BJ34" s="42">
        <f t="shared" si="57"/>
        <v>-8.600539405659177</v>
      </c>
      <c r="BK34" s="42">
        <f t="shared" si="58"/>
        <v>0</v>
      </c>
      <c r="BL34" s="43">
        <f t="shared" si="14"/>
        <v>-130.39926124424886</v>
      </c>
      <c r="BM34" s="43">
        <f t="shared" si="15"/>
        <v>-300</v>
      </c>
      <c r="BN34" s="42">
        <f t="shared" si="59"/>
        <v>1000</v>
      </c>
      <c r="BO34" s="42">
        <f t="shared" si="60"/>
        <v>-51</v>
      </c>
      <c r="BP34" s="42">
        <f t="shared" si="16"/>
      </c>
      <c r="BQ34" s="42">
        <f t="shared" si="17"/>
      </c>
      <c r="BR34" s="42">
        <f t="shared" si="18"/>
      </c>
      <c r="BS34" s="42">
        <f t="shared" si="19"/>
      </c>
      <c r="BT34" s="42">
        <f t="shared" si="20"/>
      </c>
      <c r="BU34" s="42">
        <f t="shared" si="21"/>
      </c>
      <c r="BV34" s="42">
        <f t="shared" si="22"/>
      </c>
      <c r="BW34" s="42">
        <f t="shared" si="23"/>
      </c>
      <c r="BX34" s="42">
        <f t="shared" si="24"/>
      </c>
      <c r="BY34" s="45">
        <f t="shared" si="25"/>
        <v>-130.39926124424886</v>
      </c>
      <c r="BZ34" s="46">
        <f t="shared" si="26"/>
        <v>-300</v>
      </c>
      <c r="CA34" s="54">
        <f t="shared" si="27"/>
      </c>
      <c r="CB34" s="54">
        <f t="shared" si="28"/>
      </c>
      <c r="CC34" s="54">
        <f t="shared" si="29"/>
      </c>
      <c r="CD34" s="54">
        <f t="shared" si="30"/>
      </c>
      <c r="CE34" s="54">
        <f t="shared" si="31"/>
      </c>
      <c r="CF34" s="55">
        <f t="shared" si="32"/>
      </c>
      <c r="CG34" s="55">
        <f t="shared" si="33"/>
      </c>
      <c r="CH34">
        <f t="shared" si="34"/>
        <v>-130.39926124424886</v>
      </c>
      <c r="CI34">
        <f t="shared" si="35"/>
        <v>-300</v>
      </c>
    </row>
    <row r="35" spans="1:87" ht="13.5">
      <c r="A35" s="9">
        <v>0.44</v>
      </c>
      <c r="B35" s="7">
        <f t="shared" si="61"/>
        <v>-50</v>
      </c>
      <c r="C35" s="7">
        <f t="shared" si="62"/>
        <v>-86</v>
      </c>
      <c r="D35" s="1">
        <f t="shared" si="63"/>
        <v>131.72128352916198</v>
      </c>
      <c r="E35">
        <f t="shared" si="86"/>
        <v>300</v>
      </c>
      <c r="F35">
        <f t="shared" si="64"/>
        <v>37.56517807363764</v>
      </c>
      <c r="G35">
        <f t="shared" si="65"/>
        <v>100</v>
      </c>
      <c r="H35">
        <f t="shared" si="86"/>
        <v>100</v>
      </c>
      <c r="I35">
        <f t="shared" si="84"/>
        <v>1.515</v>
      </c>
      <c r="J35">
        <f t="shared" si="67"/>
        <v>0.3747704996257277</v>
      </c>
      <c r="K35">
        <f t="shared" si="37"/>
        <v>0.4042318832461406</v>
      </c>
      <c r="L35" s="7">
        <f t="shared" si="68"/>
        <v>6.654864403148109</v>
      </c>
      <c r="M35" s="7">
        <f t="shared" si="69"/>
        <v>-1413.5810675159255</v>
      </c>
      <c r="N35" s="43">
        <f t="shared" si="70"/>
        <v>-169.57825392851592</v>
      </c>
      <c r="O35" s="43">
        <f t="shared" si="71"/>
        <v>-340</v>
      </c>
      <c r="P35" s="43">
        <f t="shared" si="72"/>
        <v>-163.77029066404117</v>
      </c>
      <c r="Q35" s="43">
        <f t="shared" si="73"/>
        <v>-340</v>
      </c>
      <c r="R35" s="2">
        <f t="shared" si="74"/>
        <v>-3.7049113896497943</v>
      </c>
      <c r="S35">
        <f t="shared" si="87"/>
        <v>0</v>
      </c>
      <c r="T35">
        <f t="shared" si="88"/>
        <v>1.333</v>
      </c>
      <c r="U35">
        <f t="shared" si="85"/>
        <v>1.333</v>
      </c>
      <c r="V35">
        <f t="shared" si="0"/>
        <v>0.4259394650659996</v>
      </c>
      <c r="W35" s="7">
        <f t="shared" si="1"/>
        <v>0.44000000000000006</v>
      </c>
      <c r="X35">
        <f t="shared" si="38"/>
        <v>0.47078052727762176</v>
      </c>
      <c r="Y35" s="10">
        <f t="shared" si="39"/>
        <v>0.44000000000000006</v>
      </c>
      <c r="Z35">
        <f t="shared" si="78"/>
        <v>-139.1311063084616</v>
      </c>
      <c r="AA35">
        <f t="shared" si="79"/>
        <v>-300</v>
      </c>
      <c r="AB35" s="7">
        <f t="shared" si="80"/>
        <v>1000</v>
      </c>
      <c r="AC35">
        <f t="shared" si="81"/>
        <v>-51</v>
      </c>
      <c r="AD35">
        <f t="shared" si="82"/>
        <v>1.375</v>
      </c>
      <c r="AE35">
        <f t="shared" si="83"/>
        <v>49.9999999999999</v>
      </c>
      <c r="AF35" s="10">
        <f t="shared" si="40"/>
        <v>1.2216343048637957</v>
      </c>
      <c r="AG35" s="10">
        <f t="shared" si="41"/>
        <v>-1003.7049113896499</v>
      </c>
      <c r="AH35" s="10">
        <f t="shared" si="42"/>
        <v>-843.049454830316</v>
      </c>
      <c r="AI35" s="10">
        <f t="shared" si="43"/>
        <v>1007524.5491477048</v>
      </c>
      <c r="AJ35" s="10">
        <f t="shared" si="44"/>
        <v>-4212573.825635369</v>
      </c>
      <c r="AK35">
        <f t="shared" si="2"/>
        <v>-300</v>
      </c>
      <c r="AL35">
        <f t="shared" si="3"/>
        <v>-300</v>
      </c>
      <c r="AM35" s="10">
        <f t="shared" si="4"/>
        <v>-59501.00000000001</v>
      </c>
      <c r="AN35" s="10">
        <f t="shared" si="5"/>
        <v>-59501.00000000001</v>
      </c>
      <c r="AO35" s="21">
        <f t="shared" si="6"/>
        <v>-139.1311063084616</v>
      </c>
      <c r="AP35" s="22">
        <f t="shared" si="7"/>
        <v>-139.1311063084616</v>
      </c>
      <c r="AQ35" s="22">
        <f t="shared" si="45"/>
        <v>-139.1311063084616</v>
      </c>
      <c r="AR35" s="23">
        <f t="shared" si="46"/>
        <v>-139.1311063084616</v>
      </c>
      <c r="AS35" s="28">
        <f t="shared" si="47"/>
      </c>
      <c r="AT35" s="22">
        <f t="shared" si="48"/>
      </c>
      <c r="AU35" s="22">
        <f t="shared" si="49"/>
      </c>
      <c r="AV35" s="23">
        <f t="shared" si="50"/>
      </c>
      <c r="AW35" s="31">
        <f t="shared" si="51"/>
        <v>0.47078052727762176</v>
      </c>
      <c r="AX35" s="21">
        <f t="shared" si="52"/>
        <v>-139.1311063084616</v>
      </c>
      <c r="AY35" s="33">
        <f t="shared" si="53"/>
      </c>
      <c r="AZ35" s="22">
        <f t="shared" si="54"/>
        <v>-139.1311063084616</v>
      </c>
      <c r="BA35" s="34">
        <f t="shared" si="55"/>
      </c>
      <c r="BB35" s="21">
        <f t="shared" si="56"/>
        <v>-139.1311063084616</v>
      </c>
      <c r="BC35" s="33">
        <f t="shared" si="8"/>
      </c>
      <c r="BD35" s="33"/>
      <c r="BE35" s="34">
        <f t="shared" si="9"/>
      </c>
      <c r="BF35" s="37">
        <f t="shared" si="10"/>
        <v>0</v>
      </c>
      <c r="BG35" s="37">
        <f t="shared" si="11"/>
        <v>0</v>
      </c>
      <c r="BH35" s="38">
        <f t="shared" si="12"/>
        <v>-139.1311063084616</v>
      </c>
      <c r="BI35" s="38">
        <f t="shared" si="13"/>
        <v>-300</v>
      </c>
      <c r="BJ35" s="42">
        <f t="shared" si="57"/>
        <v>-3.7049113896497943</v>
      </c>
      <c r="BK35" s="42">
        <f t="shared" si="58"/>
        <v>0</v>
      </c>
      <c r="BL35" s="43">
        <f t="shared" si="14"/>
        <v>-139.1311063084616</v>
      </c>
      <c r="BM35" s="43">
        <f t="shared" si="15"/>
        <v>-300</v>
      </c>
      <c r="BN35" s="42">
        <f t="shared" si="59"/>
        <v>1000</v>
      </c>
      <c r="BO35" s="42">
        <f t="shared" si="60"/>
        <v>-51</v>
      </c>
      <c r="BP35" s="42">
        <f t="shared" si="16"/>
      </c>
      <c r="BQ35" s="42">
        <f t="shared" si="17"/>
      </c>
      <c r="BR35" s="42">
        <f t="shared" si="18"/>
      </c>
      <c r="BS35" s="42">
        <f t="shared" si="19"/>
      </c>
      <c r="BT35" s="42">
        <f t="shared" si="20"/>
      </c>
      <c r="BU35" s="42">
        <f t="shared" si="21"/>
      </c>
      <c r="BV35" s="42">
        <f t="shared" si="22"/>
      </c>
      <c r="BW35" s="42">
        <f t="shared" si="23"/>
      </c>
      <c r="BX35" s="42">
        <f t="shared" si="24"/>
      </c>
      <c r="BY35" s="45">
        <f t="shared" si="25"/>
        <v>-139.1311063084616</v>
      </c>
      <c r="BZ35" s="46">
        <f t="shared" si="26"/>
        <v>-300</v>
      </c>
      <c r="CA35" s="54">
        <f t="shared" si="27"/>
      </c>
      <c r="CB35" s="54">
        <f t="shared" si="28"/>
      </c>
      <c r="CC35" s="54">
        <f t="shared" si="29"/>
      </c>
      <c r="CD35" s="54">
        <f t="shared" si="30"/>
      </c>
      <c r="CE35" s="54">
        <f t="shared" si="31"/>
      </c>
      <c r="CF35" s="55">
        <f t="shared" si="32"/>
      </c>
      <c r="CG35" s="55">
        <f t="shared" si="33"/>
      </c>
      <c r="CH35">
        <f t="shared" si="34"/>
        <v>-139.1311063084616</v>
      </c>
      <c r="CI35">
        <f t="shared" si="35"/>
        <v>-300</v>
      </c>
    </row>
    <row r="36" spans="1:87" ht="13.5">
      <c r="A36" s="9">
        <v>0.48</v>
      </c>
      <c r="B36" s="7">
        <f t="shared" si="61"/>
        <v>-50</v>
      </c>
      <c r="C36" s="7">
        <f t="shared" si="62"/>
        <v>-86</v>
      </c>
      <c r="D36" s="1">
        <f t="shared" si="63"/>
        <v>150.9557858578256</v>
      </c>
      <c r="E36">
        <f t="shared" si="86"/>
        <v>300</v>
      </c>
      <c r="F36">
        <f t="shared" si="64"/>
        <v>46.83361701957399</v>
      </c>
      <c r="G36">
        <f t="shared" si="65"/>
        <v>100</v>
      </c>
      <c r="H36">
        <f t="shared" si="86"/>
        <v>100</v>
      </c>
      <c r="I36">
        <f t="shared" si="84"/>
        <v>1.515</v>
      </c>
      <c r="J36">
        <f t="shared" si="67"/>
        <v>0.4063047135292388</v>
      </c>
      <c r="K36">
        <f t="shared" si="37"/>
        <v>0.44466233470465555</v>
      </c>
      <c r="L36" s="7">
        <f t="shared" si="68"/>
        <v>7.594850948660248</v>
      </c>
      <c r="M36" s="7">
        <f t="shared" si="69"/>
        <v>-1458.8345658566632</v>
      </c>
      <c r="N36" s="43">
        <f t="shared" si="70"/>
        <v>-182.23515442457952</v>
      </c>
      <c r="O36" s="43">
        <f t="shared" si="71"/>
        <v>-340</v>
      </c>
      <c r="P36" s="43">
        <f t="shared" si="72"/>
        <v>-175.5802900214314</v>
      </c>
      <c r="Q36" s="43">
        <f t="shared" si="73"/>
        <v>-340</v>
      </c>
      <c r="R36" s="2">
        <f t="shared" si="74"/>
        <v>1.4273970035962957</v>
      </c>
      <c r="S36">
        <f t="shared" si="87"/>
        <v>0</v>
      </c>
      <c r="T36">
        <f t="shared" si="88"/>
        <v>1.333</v>
      </c>
      <c r="U36">
        <f t="shared" si="85"/>
        <v>1.333</v>
      </c>
      <c r="V36">
        <f t="shared" si="0"/>
        <v>0.4617791755414829</v>
      </c>
      <c r="W36" s="7">
        <f t="shared" si="1"/>
        <v>0.4800000000000001</v>
      </c>
      <c r="X36">
        <f t="shared" si="38"/>
        <v>0.5206108441912581</v>
      </c>
      <c r="Y36" s="10">
        <f t="shared" si="39"/>
        <v>0.4800000000000001</v>
      </c>
      <c r="Z36">
        <f t="shared" si="78"/>
        <v>-148.10099185063302</v>
      </c>
      <c r="AA36">
        <f t="shared" si="79"/>
        <v>-300</v>
      </c>
      <c r="AB36" s="7">
        <f t="shared" si="80"/>
        <v>1000</v>
      </c>
      <c r="AC36">
        <f t="shared" si="81"/>
        <v>-51</v>
      </c>
      <c r="AD36">
        <f t="shared" si="82"/>
        <v>1.375</v>
      </c>
      <c r="AE36">
        <f t="shared" si="83"/>
        <v>49.9999999999999</v>
      </c>
      <c r="AF36" s="10">
        <f t="shared" si="40"/>
        <v>1.2710356510895344</v>
      </c>
      <c r="AG36" s="10">
        <f t="shared" si="41"/>
        <v>-998.5726029964037</v>
      </c>
      <c r="AH36" s="10">
        <f t="shared" si="42"/>
        <v>-937.7354516644396</v>
      </c>
      <c r="AI36" s="10">
        <f t="shared" si="43"/>
        <v>997248.2434550133</v>
      </c>
      <c r="AJ36" s="10">
        <f t="shared" si="44"/>
        <v>-4190804.504362639</v>
      </c>
      <c r="AK36">
        <f t="shared" si="2"/>
        <v>-300</v>
      </c>
      <c r="AL36">
        <f t="shared" si="3"/>
        <v>-300</v>
      </c>
      <c r="AM36" s="10">
        <f t="shared" si="4"/>
        <v>-59501.00000000001</v>
      </c>
      <c r="AN36" s="10">
        <f t="shared" si="5"/>
        <v>-59501.00000000001</v>
      </c>
      <c r="AO36" s="21">
        <f t="shared" si="6"/>
        <v>-148.10099185063302</v>
      </c>
      <c r="AP36" s="22">
        <f t="shared" si="7"/>
        <v>-148.10099185063302</v>
      </c>
      <c r="AQ36" s="22">
        <f t="shared" si="45"/>
        <v>-148.10099185063302</v>
      </c>
      <c r="AR36" s="23">
        <f t="shared" si="46"/>
        <v>-148.10099185063302</v>
      </c>
      <c r="AS36" s="28">
        <f t="shared" si="47"/>
      </c>
      <c r="AT36" s="22">
        <f t="shared" si="48"/>
      </c>
      <c r="AU36" s="22">
        <f t="shared" si="49"/>
      </c>
      <c r="AV36" s="23">
        <f t="shared" si="50"/>
      </c>
      <c r="AW36" s="31">
        <f t="shared" si="51"/>
        <v>0.5206108441912581</v>
      </c>
      <c r="AX36" s="21">
        <f t="shared" si="52"/>
        <v>-148.10099185063302</v>
      </c>
      <c r="AY36" s="33">
        <f t="shared" si="53"/>
      </c>
      <c r="AZ36" s="22">
        <f t="shared" si="54"/>
        <v>-148.10099185063302</v>
      </c>
      <c r="BA36" s="34">
        <f t="shared" si="55"/>
      </c>
      <c r="BB36" s="21">
        <f t="shared" si="56"/>
        <v>-148.10099185063302</v>
      </c>
      <c r="BC36" s="33">
        <f t="shared" si="8"/>
      </c>
      <c r="BD36" s="33"/>
      <c r="BE36" s="34">
        <f t="shared" si="9"/>
      </c>
      <c r="BF36" s="37">
        <f t="shared" si="10"/>
        <v>0</v>
      </c>
      <c r="BG36" s="37">
        <f t="shared" si="11"/>
        <v>0</v>
      </c>
      <c r="BH36" s="38">
        <f t="shared" si="12"/>
        <v>-148.10099185063302</v>
      </c>
      <c r="BI36" s="38">
        <f t="shared" si="13"/>
        <v>-300</v>
      </c>
      <c r="BJ36" s="42">
        <f t="shared" si="57"/>
        <v>1.4273970035962957</v>
      </c>
      <c r="BK36" s="42">
        <f t="shared" si="58"/>
        <v>0</v>
      </c>
      <c r="BL36" s="43">
        <f t="shared" si="14"/>
        <v>-148.10099185063302</v>
      </c>
      <c r="BM36" s="43">
        <f t="shared" si="15"/>
        <v>-300</v>
      </c>
      <c r="BN36" s="42">
        <f t="shared" si="59"/>
        <v>1000</v>
      </c>
      <c r="BO36" s="42">
        <f t="shared" si="60"/>
        <v>-51</v>
      </c>
      <c r="BP36" s="42">
        <f t="shared" si="16"/>
      </c>
      <c r="BQ36" s="42">
        <f t="shared" si="17"/>
      </c>
      <c r="BR36" s="42">
        <f t="shared" si="18"/>
      </c>
      <c r="BS36" s="42">
        <f t="shared" si="19"/>
      </c>
      <c r="BT36" s="42">
        <f t="shared" si="20"/>
      </c>
      <c r="BU36" s="42">
        <f t="shared" si="21"/>
      </c>
      <c r="BV36" s="42">
        <f t="shared" si="22"/>
      </c>
      <c r="BW36" s="42">
        <f t="shared" si="23"/>
      </c>
      <c r="BX36" s="42">
        <f t="shared" si="24"/>
      </c>
      <c r="BY36" s="45">
        <f t="shared" si="25"/>
        <v>-148.10099185063302</v>
      </c>
      <c r="BZ36" s="46">
        <f t="shared" si="26"/>
        <v>-300</v>
      </c>
      <c r="CA36" s="54">
        <f t="shared" si="27"/>
      </c>
      <c r="CB36" s="54">
        <f t="shared" si="28"/>
      </c>
      <c r="CC36" s="54">
        <f t="shared" si="29"/>
      </c>
      <c r="CD36" s="54">
        <f t="shared" si="30"/>
      </c>
      <c r="CE36" s="54">
        <f t="shared" si="31"/>
      </c>
      <c r="CF36" s="55">
        <f t="shared" si="32"/>
      </c>
      <c r="CG36" s="55">
        <f t="shared" si="33"/>
      </c>
      <c r="CH36">
        <f t="shared" si="34"/>
        <v>-148.10099185063302</v>
      </c>
      <c r="CI36">
        <f t="shared" si="35"/>
        <v>-300</v>
      </c>
    </row>
    <row r="37" spans="1:87" ht="13.5">
      <c r="A37" s="9">
        <v>0.52</v>
      </c>
      <c r="B37" s="7">
        <f t="shared" si="61"/>
        <v>-50</v>
      </c>
      <c r="C37" s="7">
        <f t="shared" si="62"/>
        <v>-86</v>
      </c>
      <c r="D37" s="1">
        <f t="shared" si="63"/>
        <v>171.008866477144</v>
      </c>
      <c r="E37">
        <f t="shared" si="86"/>
        <v>300</v>
      </c>
      <c r="F37">
        <f t="shared" si="64"/>
        <v>56.49650042681033</v>
      </c>
      <c r="G37">
        <f t="shared" si="65"/>
        <v>100</v>
      </c>
      <c r="H37">
        <f t="shared" si="86"/>
        <v>100</v>
      </c>
      <c r="I37">
        <f t="shared" si="84"/>
        <v>1.515</v>
      </c>
      <c r="J37">
        <f t="shared" si="67"/>
        <v>0.43718892656481917</v>
      </c>
      <c r="K37">
        <f t="shared" si="37"/>
        <v>0.4861059145771927</v>
      </c>
      <c r="L37" s="7">
        <f t="shared" si="68"/>
        <v>8.64559156744757</v>
      </c>
      <c r="M37" s="7">
        <f t="shared" si="69"/>
        <v>-1509.9839197536826</v>
      </c>
      <c r="N37" s="43">
        <f t="shared" si="70"/>
        <v>-195.4307048839238</v>
      </c>
      <c r="O37" s="43">
        <f t="shared" si="71"/>
        <v>-340</v>
      </c>
      <c r="P37" s="43">
        <f t="shared" si="72"/>
        <v>-187.83585393526354</v>
      </c>
      <c r="Q37" s="43">
        <f t="shared" si="73"/>
        <v>-340</v>
      </c>
      <c r="R37" s="2">
        <f t="shared" si="74"/>
        <v>6.835168350303729</v>
      </c>
      <c r="S37">
        <f t="shared" si="87"/>
        <v>0</v>
      </c>
      <c r="T37">
        <f t="shared" si="88"/>
        <v>1.333</v>
      </c>
      <c r="U37">
        <f t="shared" si="85"/>
        <v>1.333</v>
      </c>
      <c r="V37">
        <f t="shared" si="0"/>
        <v>0.49688013784373675</v>
      </c>
      <c r="W37" s="7">
        <f t="shared" si="1"/>
        <v>0.52</v>
      </c>
      <c r="X37">
        <f t="shared" si="38"/>
        <v>0.5725618302516684</v>
      </c>
      <c r="Y37" s="10">
        <f t="shared" si="39"/>
        <v>0.52</v>
      </c>
      <c r="Z37">
        <f t="shared" si="78"/>
        <v>-157.33852977653655</v>
      </c>
      <c r="AA37">
        <f t="shared" si="79"/>
        <v>-300</v>
      </c>
      <c r="AB37" s="7">
        <f t="shared" si="80"/>
        <v>1000</v>
      </c>
      <c r="AC37">
        <f t="shared" si="81"/>
        <v>-51</v>
      </c>
      <c r="AD37">
        <f t="shared" si="82"/>
        <v>1.375</v>
      </c>
      <c r="AE37">
        <f t="shared" si="83"/>
        <v>49.9999999999999</v>
      </c>
      <c r="AF37" s="10">
        <f t="shared" si="40"/>
        <v>1.3278270494611404</v>
      </c>
      <c r="AG37" s="10">
        <f t="shared" si="41"/>
        <v>-993.1648316496962</v>
      </c>
      <c r="AH37" s="10">
        <f t="shared" si="42"/>
        <v>-1035.2965475018805</v>
      </c>
      <c r="AI37" s="10">
        <f t="shared" si="43"/>
        <v>986477.3828257695</v>
      </c>
      <c r="AJ37" s="10">
        <f t="shared" si="44"/>
        <v>-4167646.4691214436</v>
      </c>
      <c r="AK37">
        <f t="shared" si="2"/>
        <v>-300</v>
      </c>
      <c r="AL37">
        <f t="shared" si="3"/>
        <v>-300</v>
      </c>
      <c r="AM37" s="10">
        <f t="shared" si="4"/>
        <v>-59501.00000000001</v>
      </c>
      <c r="AN37" s="10">
        <f t="shared" si="5"/>
        <v>-59501.00000000001</v>
      </c>
      <c r="AO37" s="21">
        <f t="shared" si="6"/>
        <v>-157.33852977653655</v>
      </c>
      <c r="AP37" s="22">
        <f t="shared" si="7"/>
        <v>-157.33852977653655</v>
      </c>
      <c r="AQ37" s="22">
        <f t="shared" si="45"/>
        <v>-157.33852977653655</v>
      </c>
      <c r="AR37" s="23">
        <f t="shared" si="46"/>
        <v>-157.33852977653655</v>
      </c>
      <c r="AS37" s="28">
        <f t="shared" si="47"/>
      </c>
      <c r="AT37" s="22">
        <f t="shared" si="48"/>
      </c>
      <c r="AU37" s="22">
        <f t="shared" si="49"/>
      </c>
      <c r="AV37" s="23">
        <f t="shared" si="50"/>
      </c>
      <c r="AW37" s="31">
        <f t="shared" si="51"/>
        <v>0.5725618302516684</v>
      </c>
      <c r="AX37" s="21">
        <f t="shared" si="52"/>
        <v>-157.33852977653655</v>
      </c>
      <c r="AY37" s="33">
        <f t="shared" si="53"/>
      </c>
      <c r="AZ37" s="22">
        <f t="shared" si="54"/>
        <v>-157.33852977653655</v>
      </c>
      <c r="BA37" s="34">
        <f t="shared" si="55"/>
      </c>
      <c r="BB37" s="21">
        <f t="shared" si="56"/>
        <v>-157.33852977653655</v>
      </c>
      <c r="BC37" s="33">
        <f t="shared" si="8"/>
      </c>
      <c r="BD37" s="33"/>
      <c r="BE37" s="34">
        <f t="shared" si="9"/>
      </c>
      <c r="BF37" s="37">
        <f t="shared" si="10"/>
        <v>0</v>
      </c>
      <c r="BG37" s="37">
        <f t="shared" si="11"/>
        <v>0</v>
      </c>
      <c r="BH37" s="38">
        <f t="shared" si="12"/>
        <v>-157.33852977653655</v>
      </c>
      <c r="BI37" s="38">
        <f t="shared" si="13"/>
        <v>-300</v>
      </c>
      <c r="BJ37" s="42">
        <f t="shared" si="57"/>
        <v>6.835168350303729</v>
      </c>
      <c r="BK37" s="42">
        <f t="shared" si="58"/>
        <v>0</v>
      </c>
      <c r="BL37" s="43">
        <f t="shared" si="14"/>
        <v>-157.33852977653655</v>
      </c>
      <c r="BM37" s="43">
        <f t="shared" si="15"/>
        <v>-300</v>
      </c>
      <c r="BN37" s="42">
        <f t="shared" si="59"/>
        <v>1000</v>
      </c>
      <c r="BO37" s="42">
        <f t="shared" si="60"/>
        <v>-51</v>
      </c>
      <c r="BP37" s="42">
        <f t="shared" si="16"/>
      </c>
      <c r="BQ37" s="42">
        <f t="shared" si="17"/>
      </c>
      <c r="BR37" s="42">
        <f t="shared" si="18"/>
      </c>
      <c r="BS37" s="42">
        <f t="shared" si="19"/>
      </c>
      <c r="BT37" s="42">
        <f t="shared" si="20"/>
      </c>
      <c r="BU37" s="42">
        <f t="shared" si="21"/>
      </c>
      <c r="BV37" s="42">
        <f t="shared" si="22"/>
      </c>
      <c r="BW37" s="42">
        <f t="shared" si="23"/>
      </c>
      <c r="BX37" s="42">
        <f t="shared" si="24"/>
      </c>
      <c r="BY37" s="45">
        <f t="shared" si="25"/>
        <v>-157.33852977653655</v>
      </c>
      <c r="BZ37" s="46">
        <f t="shared" si="26"/>
        <v>-300</v>
      </c>
      <c r="CA37" s="54">
        <f t="shared" si="27"/>
      </c>
      <c r="CB37" s="54">
        <f t="shared" si="28"/>
      </c>
      <c r="CC37" s="54">
        <f t="shared" si="29"/>
      </c>
      <c r="CD37" s="54">
        <f t="shared" si="30"/>
      </c>
      <c r="CE37" s="54">
        <f t="shared" si="31"/>
      </c>
      <c r="CF37" s="55">
        <f t="shared" si="32"/>
      </c>
      <c r="CG37" s="55">
        <f t="shared" si="33"/>
      </c>
      <c r="CH37">
        <f t="shared" si="34"/>
        <v>-157.33852977653655</v>
      </c>
      <c r="CI37">
        <f t="shared" si="35"/>
        <v>-300</v>
      </c>
    </row>
    <row r="38" spans="1:87" ht="13.5">
      <c r="A38" s="9">
        <v>0.56</v>
      </c>
      <c r="B38" s="7">
        <f t="shared" si="61"/>
        <v>-50</v>
      </c>
      <c r="C38" s="7">
        <f t="shared" si="62"/>
        <v>-86</v>
      </c>
      <c r="D38" s="1">
        <f t="shared" si="63"/>
        <v>192.0025205303415</v>
      </c>
      <c r="E38">
        <f t="shared" si="86"/>
        <v>300</v>
      </c>
      <c r="F38">
        <f t="shared" si="64"/>
        <v>66.61261351980187</v>
      </c>
      <c r="G38">
        <f t="shared" si="65"/>
        <v>100</v>
      </c>
      <c r="H38">
        <f t="shared" si="86"/>
        <v>100</v>
      </c>
      <c r="I38">
        <f t="shared" si="84"/>
        <v>1.515</v>
      </c>
      <c r="J38">
        <f t="shared" si="67"/>
        <v>0.4673737305798928</v>
      </c>
      <c r="K38">
        <f t="shared" si="37"/>
        <v>0.5286675300127338</v>
      </c>
      <c r="L38" s="7">
        <f t="shared" si="68"/>
        <v>9.828200503996442</v>
      </c>
      <c r="M38" s="7">
        <f t="shared" si="69"/>
        <v>-1567.6222653503255</v>
      </c>
      <c r="N38" s="43">
        <f t="shared" si="70"/>
        <v>-209.24518190338537</v>
      </c>
      <c r="O38" s="43">
        <f t="shared" si="71"/>
        <v>-340</v>
      </c>
      <c r="P38" s="43">
        <f t="shared" si="72"/>
        <v>-200.5995903359378</v>
      </c>
      <c r="Q38" s="43">
        <f t="shared" si="73"/>
        <v>-340</v>
      </c>
      <c r="R38" s="2">
        <f t="shared" si="74"/>
        <v>12.563251581979616</v>
      </c>
      <c r="S38">
        <f t="shared" si="87"/>
        <v>0</v>
      </c>
      <c r="T38">
        <f t="shared" si="88"/>
        <v>1.333</v>
      </c>
      <c r="U38">
        <f t="shared" si="85"/>
        <v>1.333</v>
      </c>
      <c r="V38">
        <f t="shared" si="0"/>
        <v>0.5311861979208834</v>
      </c>
      <c r="W38" s="7">
        <f t="shared" si="1"/>
        <v>0.5599999999999999</v>
      </c>
      <c r="X38">
        <f t="shared" si="38"/>
        <v>0.6269495350526981</v>
      </c>
      <c r="Y38" s="10">
        <f t="shared" si="39"/>
        <v>0.5599999999999999</v>
      </c>
      <c r="Z38">
        <f t="shared" si="78"/>
        <v>-166.87601736638223</v>
      </c>
      <c r="AA38">
        <f t="shared" si="79"/>
        <v>-300</v>
      </c>
      <c r="AB38" s="7">
        <f t="shared" si="80"/>
        <v>1000</v>
      </c>
      <c r="AC38">
        <f t="shared" si="81"/>
        <v>-51</v>
      </c>
      <c r="AD38">
        <f t="shared" si="82"/>
        <v>1.375</v>
      </c>
      <c r="AE38">
        <f t="shared" si="83"/>
        <v>49.9999999999999</v>
      </c>
      <c r="AF38" s="10">
        <f t="shared" si="40"/>
        <v>1.3930657195027942</v>
      </c>
      <c r="AG38" s="10">
        <f t="shared" si="41"/>
        <v>-987.4367484180203</v>
      </c>
      <c r="AH38" s="10">
        <f t="shared" si="42"/>
        <v>-1136.1460206292518</v>
      </c>
      <c r="AI38" s="10">
        <f t="shared" si="43"/>
        <v>975132.3321263528</v>
      </c>
      <c r="AJ38" s="10">
        <f t="shared" si="44"/>
        <v>-4142865.9152644575</v>
      </c>
      <c r="AK38">
        <f t="shared" si="2"/>
        <v>-300</v>
      </c>
      <c r="AL38">
        <f t="shared" si="3"/>
        <v>-300</v>
      </c>
      <c r="AM38" s="10">
        <f t="shared" si="4"/>
        <v>-59501.00000000001</v>
      </c>
      <c r="AN38" s="10">
        <f t="shared" si="5"/>
        <v>-59501.00000000001</v>
      </c>
      <c r="AO38" s="21">
        <f t="shared" si="6"/>
        <v>-166.87601736638223</v>
      </c>
      <c r="AP38" s="22">
        <f t="shared" si="7"/>
        <v>-166.87601736638223</v>
      </c>
      <c r="AQ38" s="22">
        <f t="shared" si="45"/>
        <v>-166.87601736638223</v>
      </c>
      <c r="AR38" s="23">
        <f t="shared" si="46"/>
        <v>-166.87601736638223</v>
      </c>
      <c r="AS38" s="28">
        <f t="shared" si="47"/>
      </c>
      <c r="AT38" s="22">
        <f t="shared" si="48"/>
      </c>
      <c r="AU38" s="22">
        <f t="shared" si="49"/>
      </c>
      <c r="AV38" s="23">
        <f t="shared" si="50"/>
      </c>
      <c r="AW38" s="31">
        <f t="shared" si="51"/>
        <v>0.6269495350526981</v>
      </c>
      <c r="AX38" s="21">
        <f t="shared" si="52"/>
        <v>-166.87601736638223</v>
      </c>
      <c r="AY38" s="33">
        <f t="shared" si="53"/>
      </c>
      <c r="AZ38" s="22">
        <f t="shared" si="54"/>
        <v>-166.87601736638223</v>
      </c>
      <c r="BA38" s="34">
        <f t="shared" si="55"/>
      </c>
      <c r="BB38" s="21">
        <f t="shared" si="56"/>
        <v>-166.87601736638223</v>
      </c>
      <c r="BC38" s="33">
        <f t="shared" si="8"/>
      </c>
      <c r="BD38" s="33"/>
      <c r="BE38" s="34">
        <f t="shared" si="9"/>
      </c>
      <c r="BF38" s="37">
        <f t="shared" si="10"/>
        <v>0</v>
      </c>
      <c r="BG38" s="37">
        <f t="shared" si="11"/>
        <v>0</v>
      </c>
      <c r="BH38" s="38">
        <f t="shared" si="12"/>
        <v>-166.87601736638223</v>
      </c>
      <c r="BI38" s="38">
        <f t="shared" si="13"/>
        <v>-300</v>
      </c>
      <c r="BJ38" s="42">
        <f t="shared" si="57"/>
        <v>12.563251581979616</v>
      </c>
      <c r="BK38" s="42">
        <f t="shared" si="58"/>
        <v>0</v>
      </c>
      <c r="BL38" s="43">
        <f t="shared" si="14"/>
        <v>-166.87601736638223</v>
      </c>
      <c r="BM38" s="43">
        <f t="shared" si="15"/>
        <v>-300</v>
      </c>
      <c r="BN38" s="42">
        <f t="shared" si="59"/>
        <v>1000</v>
      </c>
      <c r="BO38" s="42">
        <f t="shared" si="60"/>
        <v>-51</v>
      </c>
      <c r="BP38" s="42">
        <f t="shared" si="16"/>
      </c>
      <c r="BQ38" s="42">
        <f t="shared" si="17"/>
      </c>
      <c r="BR38" s="42">
        <f t="shared" si="18"/>
      </c>
      <c r="BS38" s="42">
        <f t="shared" si="19"/>
      </c>
      <c r="BT38" s="42">
        <f t="shared" si="20"/>
      </c>
      <c r="BU38" s="42">
        <f t="shared" si="21"/>
      </c>
      <c r="BV38" s="42">
        <f t="shared" si="22"/>
      </c>
      <c r="BW38" s="42">
        <f t="shared" si="23"/>
      </c>
      <c r="BX38" s="42">
        <f t="shared" si="24"/>
      </c>
      <c r="BY38" s="45">
        <f t="shared" si="25"/>
        <v>-166.87601736638223</v>
      </c>
      <c r="BZ38" s="46">
        <f t="shared" si="26"/>
        <v>-300</v>
      </c>
      <c r="CA38" s="54">
        <f t="shared" si="27"/>
      </c>
      <c r="CB38" s="54">
        <f t="shared" si="28"/>
      </c>
      <c r="CC38" s="54">
        <f t="shared" si="29"/>
      </c>
      <c r="CD38" s="54">
        <f t="shared" si="30"/>
      </c>
      <c r="CE38" s="54">
        <f t="shared" si="31"/>
      </c>
      <c r="CF38" s="55">
        <f t="shared" si="32"/>
      </c>
      <c r="CG38" s="55">
        <f t="shared" si="33"/>
      </c>
      <c r="CH38">
        <f t="shared" si="34"/>
        <v>-166.87601736638223</v>
      </c>
      <c r="CI38">
        <f t="shared" si="35"/>
        <v>-300</v>
      </c>
    </row>
    <row r="39" spans="1:87" ht="13.5">
      <c r="A39" s="9">
        <v>0.6</v>
      </c>
      <c r="B39" s="7">
        <f t="shared" si="61"/>
        <v>-50</v>
      </c>
      <c r="C39" s="7">
        <f t="shared" si="62"/>
        <v>-86</v>
      </c>
      <c r="D39" s="1">
        <f t="shared" si="63"/>
        <v>214.07680801989324</v>
      </c>
      <c r="E39">
        <f t="shared" si="86"/>
        <v>300</v>
      </c>
      <c r="F39">
        <f t="shared" si="64"/>
        <v>77.24944635155477</v>
      </c>
      <c r="G39">
        <f t="shared" si="65"/>
        <v>100</v>
      </c>
      <c r="H39">
        <f t="shared" si="86"/>
        <v>100</v>
      </c>
      <c r="I39">
        <f t="shared" si="84"/>
        <v>1.515</v>
      </c>
      <c r="J39">
        <f t="shared" si="67"/>
        <v>0.496810836327117</v>
      </c>
      <c r="K39">
        <f t="shared" si="37"/>
        <v>0.5724558011155612</v>
      </c>
      <c r="L39" s="7">
        <f t="shared" si="68"/>
        <v>11.168100722613117</v>
      </c>
      <c r="M39" s="7">
        <f t="shared" si="69"/>
        <v>-1632.4367562803616</v>
      </c>
      <c r="N39" s="43">
        <f t="shared" si="70"/>
        <v>-223.77074931878985</v>
      </c>
      <c r="O39" s="43">
        <f t="shared" si="71"/>
        <v>-340</v>
      </c>
      <c r="P39" s="43">
        <f t="shared" si="72"/>
        <v>-213.9425488147934</v>
      </c>
      <c r="Q39" s="43">
        <f t="shared" si="73"/>
        <v>-340</v>
      </c>
      <c r="R39" s="2">
        <f t="shared" si="74"/>
        <v>18.66396602138198</v>
      </c>
      <c r="S39">
        <f t="shared" si="87"/>
        <v>0</v>
      </c>
      <c r="T39">
        <f t="shared" si="88"/>
        <v>1.333</v>
      </c>
      <c r="U39">
        <f t="shared" si="85"/>
        <v>1.333</v>
      </c>
      <c r="V39">
        <f t="shared" si="0"/>
        <v>0.5646424733950354</v>
      </c>
      <c r="W39" s="7">
        <f t="shared" si="1"/>
        <v>0.6000000000000001</v>
      </c>
      <c r="X39">
        <f t="shared" si="38"/>
        <v>0.6841368083416924</v>
      </c>
      <c r="Y39" s="10">
        <f t="shared" si="39"/>
        <v>0.6000000000000001</v>
      </c>
      <c r="Z39">
        <f t="shared" si="78"/>
        <v>-176.7488759771293</v>
      </c>
      <c r="AA39">
        <f t="shared" si="79"/>
        <v>-300</v>
      </c>
      <c r="AB39" s="7">
        <f t="shared" si="80"/>
        <v>1000</v>
      </c>
      <c r="AC39">
        <f t="shared" si="81"/>
        <v>-51</v>
      </c>
      <c r="AD39">
        <f t="shared" si="82"/>
        <v>1.375</v>
      </c>
      <c r="AE39">
        <f t="shared" si="83"/>
        <v>49.9999999999999</v>
      </c>
      <c r="AF39" s="10">
        <f t="shared" si="40"/>
        <v>1.4680431725279577</v>
      </c>
      <c r="AG39" s="10">
        <f t="shared" si="41"/>
        <v>-981.336033978618</v>
      </c>
      <c r="AH39" s="10">
        <f t="shared" si="42"/>
        <v>-1240.7362043936528</v>
      </c>
      <c r="AI39" s="10">
        <f t="shared" si="43"/>
        <v>963121.4115848833</v>
      </c>
      <c r="AJ39" s="10">
        <f t="shared" si="44"/>
        <v>-4116188.9214775404</v>
      </c>
      <c r="AK39">
        <f t="shared" si="2"/>
        <v>-300</v>
      </c>
      <c r="AL39">
        <f t="shared" si="3"/>
        <v>-300</v>
      </c>
      <c r="AM39" s="10">
        <f t="shared" si="4"/>
        <v>-59501.00000000001</v>
      </c>
      <c r="AN39" s="10">
        <f t="shared" si="5"/>
        <v>-59501.00000000001</v>
      </c>
      <c r="AO39" s="21">
        <f t="shared" si="6"/>
        <v>-176.7488759771293</v>
      </c>
      <c r="AP39" s="22">
        <f t="shared" si="7"/>
        <v>-176.7488759771293</v>
      </c>
      <c r="AQ39" s="22">
        <f t="shared" si="45"/>
        <v>-176.7488759771293</v>
      </c>
      <c r="AR39" s="23">
        <f t="shared" si="46"/>
        <v>-176.7488759771293</v>
      </c>
      <c r="AS39" s="28">
        <f t="shared" si="47"/>
      </c>
      <c r="AT39" s="22">
        <f t="shared" si="48"/>
      </c>
      <c r="AU39" s="22">
        <f t="shared" si="49"/>
      </c>
      <c r="AV39" s="23">
        <f t="shared" si="50"/>
      </c>
      <c r="AW39" s="31">
        <f t="shared" si="51"/>
        <v>0.6841368083416924</v>
      </c>
      <c r="AX39" s="21">
        <f t="shared" si="52"/>
        <v>-176.7488759771293</v>
      </c>
      <c r="AY39" s="33">
        <f t="shared" si="53"/>
      </c>
      <c r="AZ39" s="22">
        <f t="shared" si="54"/>
        <v>-176.7488759771293</v>
      </c>
      <c r="BA39" s="34">
        <f t="shared" si="55"/>
      </c>
      <c r="BB39" s="21">
        <f t="shared" si="56"/>
        <v>-176.7488759771293</v>
      </c>
      <c r="BC39" s="33">
        <f t="shared" si="8"/>
      </c>
      <c r="BD39" s="33"/>
      <c r="BE39" s="34">
        <f t="shared" si="9"/>
      </c>
      <c r="BF39" s="37">
        <f t="shared" si="10"/>
        <v>0</v>
      </c>
      <c r="BG39" s="37">
        <f t="shared" si="11"/>
        <v>0</v>
      </c>
      <c r="BH39" s="38">
        <f t="shared" si="12"/>
        <v>-176.7488759771293</v>
      </c>
      <c r="BI39" s="38">
        <f t="shared" si="13"/>
        <v>-300</v>
      </c>
      <c r="BJ39" s="42">
        <f t="shared" si="57"/>
        <v>18.66396602138198</v>
      </c>
      <c r="BK39" s="42">
        <f t="shared" si="58"/>
        <v>0</v>
      </c>
      <c r="BL39" s="43">
        <f t="shared" si="14"/>
        <v>-176.7488759771293</v>
      </c>
      <c r="BM39" s="43">
        <f t="shared" si="15"/>
        <v>-300</v>
      </c>
      <c r="BN39" s="42">
        <f t="shared" si="59"/>
        <v>1000</v>
      </c>
      <c r="BO39" s="42">
        <f t="shared" si="60"/>
        <v>-51</v>
      </c>
      <c r="BP39" s="42">
        <f t="shared" si="16"/>
      </c>
      <c r="BQ39" s="42">
        <f t="shared" si="17"/>
      </c>
      <c r="BR39" s="42">
        <f t="shared" si="18"/>
      </c>
      <c r="BS39" s="42">
        <f t="shared" si="19"/>
      </c>
      <c r="BT39" s="42">
        <f t="shared" si="20"/>
      </c>
      <c r="BU39" s="42">
        <f t="shared" si="21"/>
      </c>
      <c r="BV39" s="42">
        <f t="shared" si="22"/>
      </c>
      <c r="BW39" s="42">
        <f t="shared" si="23"/>
      </c>
      <c r="BX39" s="42">
        <f t="shared" si="24"/>
      </c>
      <c r="BY39" s="45">
        <f t="shared" si="25"/>
        <v>-176.7488759771293</v>
      </c>
      <c r="BZ39" s="46">
        <f t="shared" si="26"/>
        <v>-300</v>
      </c>
      <c r="CA39" s="54">
        <f t="shared" si="27"/>
      </c>
      <c r="CB39" s="54">
        <f t="shared" si="28"/>
      </c>
      <c r="CC39" s="54">
        <f t="shared" si="29"/>
      </c>
      <c r="CD39" s="54">
        <f t="shared" si="30"/>
      </c>
      <c r="CE39" s="54">
        <f t="shared" si="31"/>
      </c>
      <c r="CF39" s="55">
        <f t="shared" si="32"/>
      </c>
      <c r="CG39" s="55">
        <f t="shared" si="33"/>
      </c>
      <c r="CH39">
        <f t="shared" si="34"/>
        <v>-176.7488759771293</v>
      </c>
      <c r="CI39">
        <f t="shared" si="35"/>
        <v>-300</v>
      </c>
    </row>
    <row r="40" spans="1:87" ht="13.5">
      <c r="A40" s="9">
        <v>0.64</v>
      </c>
      <c r="B40" s="7">
        <f t="shared" si="61"/>
        <v>-50</v>
      </c>
      <c r="C40" s="7">
        <f t="shared" si="62"/>
        <v>-86</v>
      </c>
      <c r="D40" s="1">
        <f t="shared" si="63"/>
        <v>237.3939153772921</v>
      </c>
      <c r="E40">
        <f t="shared" si="86"/>
        <v>300</v>
      </c>
      <c r="F40">
        <f t="shared" si="64"/>
        <v>88.4851509330993</v>
      </c>
      <c r="G40">
        <f t="shared" si="65"/>
        <v>100</v>
      </c>
      <c r="H40">
        <f t="shared" si="86"/>
        <v>100</v>
      </c>
      <c r="I40">
        <f t="shared" si="84"/>
        <v>1.515</v>
      </c>
      <c r="J40">
        <f t="shared" si="67"/>
        <v>0.525453150716877</v>
      </c>
      <c r="K40">
        <f t="shared" si="37"/>
        <v>0.6175825498019385</v>
      </c>
      <c r="L40" s="7">
        <f t="shared" si="68"/>
        <v>12.696127241902545</v>
      </c>
      <c r="M40" s="7">
        <f t="shared" si="69"/>
        <v>-1705.2222935689902</v>
      </c>
      <c r="N40" s="43">
        <f t="shared" si="70"/>
        <v>-239.11413084412482</v>
      </c>
      <c r="O40" s="43">
        <f t="shared" si="71"/>
        <v>-340</v>
      </c>
      <c r="P40" s="43">
        <f t="shared" si="72"/>
        <v>-227.9460301215117</v>
      </c>
      <c r="Q40" s="43">
        <f t="shared" si="73"/>
        <v>-340</v>
      </c>
      <c r="R40" s="2">
        <f t="shared" si="74"/>
        <v>25.19886943361601</v>
      </c>
      <c r="S40">
        <f t="shared" si="87"/>
        <v>0</v>
      </c>
      <c r="T40">
        <f t="shared" si="88"/>
        <v>1.333</v>
      </c>
      <c r="U40">
        <f t="shared" si="85"/>
        <v>1.333</v>
      </c>
      <c r="V40">
        <f t="shared" si="0"/>
        <v>0.5971954413623921</v>
      </c>
      <c r="W40" s="7">
        <f t="shared" si="1"/>
        <v>0.6400000000000001</v>
      </c>
      <c r="X40">
        <f t="shared" si="38"/>
        <v>0.744543822220964</v>
      </c>
      <c r="Y40" s="10">
        <f t="shared" si="39"/>
        <v>0.6400000000000001</v>
      </c>
      <c r="Z40">
        <f t="shared" si="78"/>
        <v>-186.9961765100601</v>
      </c>
      <c r="AA40">
        <f t="shared" si="79"/>
        <v>-300</v>
      </c>
      <c r="AB40" s="7">
        <f t="shared" si="80"/>
        <v>1000</v>
      </c>
      <c r="AC40">
        <f t="shared" si="81"/>
        <v>-51</v>
      </c>
      <c r="AD40">
        <f t="shared" si="82"/>
        <v>1.375</v>
      </c>
      <c r="AE40">
        <f t="shared" si="83"/>
        <v>49.9999999999999</v>
      </c>
      <c r="AF40" s="10">
        <f t="shared" si="40"/>
        <v>1.5543455032074025</v>
      </c>
      <c r="AG40" s="10">
        <f t="shared" si="41"/>
        <v>-974.801130566384</v>
      </c>
      <c r="AH40" s="10">
        <f t="shared" si="42"/>
        <v>-1349.5643193144251</v>
      </c>
      <c r="AI40" s="10">
        <f t="shared" si="43"/>
        <v>950338.2441535004</v>
      </c>
      <c r="AJ40" s="10">
        <f t="shared" si="44"/>
        <v>-4087292.053337441</v>
      </c>
      <c r="AK40">
        <f t="shared" si="2"/>
        <v>-300</v>
      </c>
      <c r="AL40">
        <f t="shared" si="3"/>
        <v>-300</v>
      </c>
      <c r="AM40" s="10">
        <f t="shared" si="4"/>
        <v>-59501.00000000001</v>
      </c>
      <c r="AN40" s="10">
        <f t="shared" si="5"/>
        <v>-59501.00000000001</v>
      </c>
      <c r="AO40" s="21">
        <f t="shared" si="6"/>
        <v>-186.9961765100601</v>
      </c>
      <c r="AP40" s="22">
        <f t="shared" si="7"/>
        <v>-186.9961765100601</v>
      </c>
      <c r="AQ40" s="22">
        <f t="shared" si="45"/>
        <v>-186.9961765100601</v>
      </c>
      <c r="AR40" s="23">
        <f t="shared" si="46"/>
        <v>-186.9961765100601</v>
      </c>
      <c r="AS40" s="28">
        <f t="shared" si="47"/>
      </c>
      <c r="AT40" s="22">
        <f t="shared" si="48"/>
      </c>
      <c r="AU40" s="22">
        <f t="shared" si="49"/>
      </c>
      <c r="AV40" s="23">
        <f t="shared" si="50"/>
      </c>
      <c r="AW40" s="31">
        <f t="shared" si="51"/>
        <v>0.744543822220964</v>
      </c>
      <c r="AX40" s="21">
        <f t="shared" si="52"/>
        <v>-186.9961765100601</v>
      </c>
      <c r="AY40" s="33">
        <f t="shared" si="53"/>
      </c>
      <c r="AZ40" s="22">
        <f t="shared" si="54"/>
        <v>-186.9961765100601</v>
      </c>
      <c r="BA40" s="34">
        <f t="shared" si="55"/>
      </c>
      <c r="BB40" s="21">
        <f t="shared" si="56"/>
        <v>-186.9961765100601</v>
      </c>
      <c r="BC40" s="33">
        <f t="shared" si="8"/>
      </c>
      <c r="BD40" s="33"/>
      <c r="BE40" s="34">
        <f t="shared" si="9"/>
      </c>
      <c r="BF40" s="37">
        <f t="shared" si="10"/>
        <v>0</v>
      </c>
      <c r="BG40" s="37">
        <f t="shared" si="11"/>
        <v>0</v>
      </c>
      <c r="BH40" s="38">
        <f t="shared" si="12"/>
        <v>-186.9961765100601</v>
      </c>
      <c r="BI40" s="38">
        <f t="shared" si="13"/>
        <v>-300</v>
      </c>
      <c r="BJ40" s="42">
        <f t="shared" si="57"/>
        <v>25.19886943361601</v>
      </c>
      <c r="BK40" s="42">
        <f t="shared" si="58"/>
        <v>0</v>
      </c>
      <c r="BL40" s="43">
        <f t="shared" si="14"/>
        <v>-186.9961765100601</v>
      </c>
      <c r="BM40" s="43">
        <f t="shared" si="15"/>
        <v>-300</v>
      </c>
      <c r="BN40" s="42">
        <f t="shared" si="59"/>
        <v>1000</v>
      </c>
      <c r="BO40" s="42">
        <f t="shared" si="60"/>
        <v>-51</v>
      </c>
      <c r="BP40" s="42">
        <f t="shared" si="16"/>
      </c>
      <c r="BQ40" s="42">
        <f t="shared" si="17"/>
      </c>
      <c r="BR40" s="42">
        <f t="shared" si="18"/>
      </c>
      <c r="BS40" s="42">
        <f t="shared" si="19"/>
      </c>
      <c r="BT40" s="42">
        <f t="shared" si="20"/>
      </c>
      <c r="BU40" s="42">
        <f t="shared" si="21"/>
      </c>
      <c r="BV40" s="42">
        <f t="shared" si="22"/>
      </c>
      <c r="BW40" s="42">
        <f t="shared" si="23"/>
      </c>
      <c r="BX40" s="42">
        <f t="shared" si="24"/>
      </c>
      <c r="BY40" s="45">
        <f t="shared" si="25"/>
        <v>-186.9961765100601</v>
      </c>
      <c r="BZ40" s="46">
        <f t="shared" si="26"/>
        <v>-300</v>
      </c>
      <c r="CA40" s="54">
        <f t="shared" si="27"/>
      </c>
      <c r="CB40" s="54">
        <f t="shared" si="28"/>
      </c>
      <c r="CC40" s="54">
        <f t="shared" si="29"/>
      </c>
      <c r="CD40" s="54">
        <f t="shared" si="30"/>
      </c>
      <c r="CE40" s="54">
        <f t="shared" si="31"/>
      </c>
      <c r="CF40" s="55">
        <f t="shared" si="32"/>
      </c>
      <c r="CG40" s="55">
        <f t="shared" si="33"/>
      </c>
      <c r="CH40">
        <f t="shared" si="34"/>
        <v>-186.9961765100601</v>
      </c>
      <c r="CI40">
        <f t="shared" si="35"/>
        <v>-300</v>
      </c>
    </row>
    <row r="41" spans="1:87" ht="13.5">
      <c r="A41" s="9">
        <v>0.68</v>
      </c>
      <c r="B41" s="7">
        <f t="shared" si="61"/>
        <v>-50</v>
      </c>
      <c r="C41" s="7">
        <f t="shared" si="62"/>
        <v>-86</v>
      </c>
      <c r="D41" s="1">
        <f t="shared" si="63"/>
        <v>262.14329080503023</v>
      </c>
      <c r="E41">
        <f t="shared" si="86"/>
        <v>300</v>
      </c>
      <c r="F41">
        <f t="shared" si="64"/>
        <v>100.41101577651716</v>
      </c>
      <c r="G41">
        <f t="shared" si="65"/>
        <v>100</v>
      </c>
      <c r="H41">
        <f t="shared" si="86"/>
        <v>100</v>
      </c>
      <c r="I41">
        <f t="shared" si="84"/>
        <v>1.515</v>
      </c>
      <c r="J41">
        <f t="shared" si="67"/>
        <v>0.5532548521561839</v>
      </c>
      <c r="K41">
        <f t="shared" si="37"/>
        <v>0.6641618868523301</v>
      </c>
      <c r="L41" s="7">
        <f t="shared" si="68"/>
        <v>14.449948829023517</v>
      </c>
      <c r="M41" s="7">
        <f t="shared" si="69"/>
        <v>-1786.8973680702904</v>
      </c>
      <c r="N41" s="43">
        <f t="shared" si="70"/>
        <v>-255.3999892862115</v>
      </c>
      <c r="O41" s="43">
        <f t="shared" si="71"/>
        <v>-340</v>
      </c>
      <c r="P41" s="43">
        <f t="shared" si="72"/>
        <v>-242.70386204430895</v>
      </c>
      <c r="Q41" s="43">
        <f t="shared" si="73"/>
        <v>-340</v>
      </c>
      <c r="R41" s="2">
        <f t="shared" si="74"/>
        <v>32.241005504163155</v>
      </c>
      <c r="S41">
        <f t="shared" si="87"/>
        <v>0</v>
      </c>
      <c r="T41">
        <f t="shared" si="88"/>
        <v>1.333</v>
      </c>
      <c r="U41">
        <f t="shared" si="85"/>
        <v>1.333</v>
      </c>
      <c r="V41">
        <f t="shared" si="0"/>
        <v>0.6287930240184686</v>
      </c>
      <c r="W41" s="7">
        <f t="shared" si="1"/>
        <v>0.6800000000000002</v>
      </c>
      <c r="X41">
        <f t="shared" si="38"/>
        <v>0.8086613751425655</v>
      </c>
      <c r="Y41" s="10">
        <f t="shared" si="39"/>
        <v>0.6800000000000002</v>
      </c>
      <c r="Z41">
        <f t="shared" si="78"/>
        <v>-197.66127979670398</v>
      </c>
      <c r="AA41">
        <f t="shared" si="79"/>
        <v>-300</v>
      </c>
      <c r="AB41" s="7">
        <f t="shared" si="80"/>
        <v>1000</v>
      </c>
      <c r="AC41">
        <f t="shared" si="81"/>
        <v>-51</v>
      </c>
      <c r="AD41">
        <f t="shared" si="82"/>
        <v>1.375</v>
      </c>
      <c r="AE41">
        <f t="shared" si="83"/>
        <v>49.9999999999999</v>
      </c>
      <c r="AF41" s="10">
        <f t="shared" si="40"/>
        <v>1.653933219647465</v>
      </c>
      <c r="AG41" s="10">
        <f t="shared" si="41"/>
        <v>-967.7589944958369</v>
      </c>
      <c r="AH41" s="10">
        <f t="shared" si="42"/>
        <v>-1463.1786385911798</v>
      </c>
      <c r="AI41" s="10">
        <f t="shared" si="43"/>
        <v>936658.4714275933</v>
      </c>
      <c r="AJ41" s="10">
        <f t="shared" si="44"/>
        <v>-4055790.517003711</v>
      </c>
      <c r="AK41">
        <f t="shared" si="2"/>
        <v>-300</v>
      </c>
      <c r="AL41">
        <f t="shared" si="3"/>
        <v>-300</v>
      </c>
      <c r="AM41" s="10">
        <f t="shared" si="4"/>
        <v>-59501.00000000001</v>
      </c>
      <c r="AN41" s="10">
        <f t="shared" si="5"/>
        <v>-59501.00000000001</v>
      </c>
      <c r="AO41" s="21">
        <f t="shared" si="6"/>
        <v>-197.66127979670398</v>
      </c>
      <c r="AP41" s="22">
        <f t="shared" si="7"/>
        <v>-197.66127979670398</v>
      </c>
      <c r="AQ41" s="22">
        <f t="shared" si="45"/>
        <v>-197.66127979670398</v>
      </c>
      <c r="AR41" s="23">
        <f t="shared" si="46"/>
        <v>-197.66127979670398</v>
      </c>
      <c r="AS41" s="28">
        <f t="shared" si="47"/>
      </c>
      <c r="AT41" s="22">
        <f t="shared" si="48"/>
      </c>
      <c r="AU41" s="22">
        <f t="shared" si="49"/>
      </c>
      <c r="AV41" s="23">
        <f t="shared" si="50"/>
      </c>
      <c r="AW41" s="31">
        <f t="shared" si="51"/>
        <v>0.8086613751425655</v>
      </c>
      <c r="AX41" s="21">
        <f t="shared" si="52"/>
        <v>-197.66127979670398</v>
      </c>
      <c r="AY41" s="33">
        <f t="shared" si="53"/>
      </c>
      <c r="AZ41" s="22">
        <f t="shared" si="54"/>
        <v>-197.66127979670398</v>
      </c>
      <c r="BA41" s="34">
        <f t="shared" si="55"/>
      </c>
      <c r="BB41" s="21">
        <f t="shared" si="56"/>
        <v>-197.66127979670398</v>
      </c>
      <c r="BC41" s="33">
        <f t="shared" si="8"/>
      </c>
      <c r="BD41" s="33"/>
      <c r="BE41" s="34">
        <f t="shared" si="9"/>
      </c>
      <c r="BF41" s="37">
        <f t="shared" si="10"/>
        <v>0</v>
      </c>
      <c r="BG41" s="37">
        <f t="shared" si="11"/>
        <v>0</v>
      </c>
      <c r="BH41" s="38">
        <f t="shared" si="12"/>
        <v>-197.66127979670398</v>
      </c>
      <c r="BI41" s="38">
        <f t="shared" si="13"/>
        <v>-300</v>
      </c>
      <c r="BJ41" s="42">
        <f t="shared" si="57"/>
        <v>32.241005504163155</v>
      </c>
      <c r="BK41" s="42">
        <f t="shared" si="58"/>
        <v>0</v>
      </c>
      <c r="BL41" s="43">
        <f t="shared" si="14"/>
        <v>-197.66127979670398</v>
      </c>
      <c r="BM41" s="43">
        <f t="shared" si="15"/>
        <v>-300</v>
      </c>
      <c r="BN41" s="42">
        <f t="shared" si="59"/>
        <v>1000</v>
      </c>
      <c r="BO41" s="42">
        <f t="shared" si="60"/>
        <v>-51</v>
      </c>
      <c r="BP41" s="42">
        <f t="shared" si="16"/>
      </c>
      <c r="BQ41" s="42">
        <f t="shared" si="17"/>
      </c>
      <c r="BR41" s="42">
        <f t="shared" si="18"/>
      </c>
      <c r="BS41" s="42">
        <f t="shared" si="19"/>
      </c>
      <c r="BT41" s="42">
        <f t="shared" si="20"/>
      </c>
      <c r="BU41" s="42">
        <f t="shared" si="21"/>
      </c>
      <c r="BV41" s="42">
        <f t="shared" si="22"/>
      </c>
      <c r="BW41" s="42">
        <f t="shared" si="23"/>
      </c>
      <c r="BX41" s="42">
        <f t="shared" si="24"/>
      </c>
      <c r="BY41" s="45">
        <f t="shared" si="25"/>
        <v>-197.66127979670398</v>
      </c>
      <c r="BZ41" s="46">
        <f t="shared" si="26"/>
        <v>-300</v>
      </c>
      <c r="CA41" s="54">
        <f t="shared" si="27"/>
      </c>
      <c r="CB41" s="54">
        <f t="shared" si="28"/>
      </c>
      <c r="CC41" s="54">
        <f t="shared" si="29"/>
      </c>
      <c r="CD41" s="54">
        <f t="shared" si="30"/>
      </c>
      <c r="CE41" s="54">
        <f t="shared" si="31"/>
      </c>
      <c r="CF41" s="55">
        <f t="shared" si="32"/>
      </c>
      <c r="CG41" s="55">
        <f t="shared" si="33"/>
      </c>
      <c r="CH41">
        <f t="shared" si="34"/>
        <v>-197.66127979670398</v>
      </c>
      <c r="CI41">
        <f t="shared" si="35"/>
        <v>-300</v>
      </c>
    </row>
    <row r="42" spans="1:87" ht="13.5">
      <c r="A42" s="9">
        <v>0.72</v>
      </c>
      <c r="B42" s="7">
        <f t="shared" si="61"/>
        <v>-50</v>
      </c>
      <c r="C42" s="7">
        <f t="shared" si="62"/>
        <v>-86</v>
      </c>
      <c r="D42" s="1">
        <f t="shared" si="63"/>
        <v>288.54820935168595</v>
      </c>
      <c r="E42">
        <f t="shared" si="86"/>
        <v>300</v>
      </c>
      <c r="F42">
        <f t="shared" si="64"/>
        <v>113.13462937671915</v>
      </c>
      <c r="G42">
        <f t="shared" si="65"/>
        <v>100</v>
      </c>
      <c r="H42">
        <f t="shared" si="86"/>
        <v>100</v>
      </c>
      <c r="I42">
        <f t="shared" si="84"/>
        <v>1.515</v>
      </c>
      <c r="J42">
        <f t="shared" si="67"/>
        <v>0.580171463853448</v>
      </c>
      <c r="K42">
        <f t="shared" si="37"/>
        <v>0.712308750001944</v>
      </c>
      <c r="L42" s="7">
        <f t="shared" si="68"/>
        <v>16.47591498728901</v>
      </c>
      <c r="M42" s="7">
        <f t="shared" si="69"/>
        <v>-1878.5221748099864</v>
      </c>
      <c r="N42" s="43">
        <f t="shared" si="70"/>
        <v>-272.7752465682079</v>
      </c>
      <c r="O42" s="43">
        <f t="shared" si="71"/>
        <v>-340</v>
      </c>
      <c r="P42" s="43">
        <f t="shared" si="72"/>
        <v>-258.32529773918435</v>
      </c>
      <c r="Q42" s="43">
        <f t="shared" si="73"/>
        <v>-340</v>
      </c>
      <c r="R42" s="2">
        <f t="shared" si="74"/>
        <v>39.87778821825925</v>
      </c>
      <c r="S42">
        <f t="shared" si="87"/>
        <v>0</v>
      </c>
      <c r="T42">
        <f t="shared" si="88"/>
        <v>1.333</v>
      </c>
      <c r="U42">
        <f t="shared" si="85"/>
        <v>1.333</v>
      </c>
      <c r="V42">
        <f t="shared" si="0"/>
        <v>0.6593846719714731</v>
      </c>
      <c r="W42" s="7">
        <f t="shared" si="1"/>
        <v>0.72</v>
      </c>
      <c r="X42">
        <f t="shared" si="38"/>
        <v>0.8770678998748341</v>
      </c>
      <c r="Y42" s="10">
        <f t="shared" si="39"/>
        <v>0.72</v>
      </c>
      <c r="Z42">
        <f t="shared" si="78"/>
        <v>-208.79263291516747</v>
      </c>
      <c r="AA42">
        <f t="shared" si="79"/>
        <v>-300</v>
      </c>
      <c r="AB42" s="7">
        <f t="shared" si="80"/>
        <v>1000</v>
      </c>
      <c r="AC42">
        <f t="shared" si="81"/>
        <v>-51</v>
      </c>
      <c r="AD42">
        <f t="shared" si="82"/>
        <v>1.375</v>
      </c>
      <c r="AE42">
        <f t="shared" si="83"/>
        <v>49.9999999999999</v>
      </c>
      <c r="AF42" s="10">
        <f t="shared" si="40"/>
        <v>1.769248100990852</v>
      </c>
      <c r="AG42" s="10">
        <f t="shared" si="41"/>
        <v>-960.1222117817407</v>
      </c>
      <c r="AH42" s="10">
        <f t="shared" si="42"/>
        <v>-1582.1847438211842</v>
      </c>
      <c r="AI42" s="10">
        <f t="shared" si="43"/>
        <v>921935.6615566617</v>
      </c>
      <c r="AJ42" s="10">
        <f t="shared" si="44"/>
        <v>-4021223.1101989686</v>
      </c>
      <c r="AK42">
        <f t="shared" si="2"/>
        <v>-300</v>
      </c>
      <c r="AL42">
        <f t="shared" si="3"/>
        <v>-300</v>
      </c>
      <c r="AM42" s="10">
        <f t="shared" si="4"/>
        <v>-59501.00000000001</v>
      </c>
      <c r="AN42" s="10">
        <f t="shared" si="5"/>
        <v>-59501.00000000001</v>
      </c>
      <c r="AO42" s="21">
        <f t="shared" si="6"/>
        <v>-208.79263291516747</v>
      </c>
      <c r="AP42" s="22">
        <f t="shared" si="7"/>
        <v>-208.79263291516747</v>
      </c>
      <c r="AQ42" s="22">
        <f t="shared" si="45"/>
        <v>-208.79263291516747</v>
      </c>
      <c r="AR42" s="23">
        <f t="shared" si="46"/>
        <v>-208.79263291516747</v>
      </c>
      <c r="AS42" s="28">
        <f t="shared" si="47"/>
      </c>
      <c r="AT42" s="22">
        <f t="shared" si="48"/>
      </c>
      <c r="AU42" s="22">
        <f t="shared" si="49"/>
      </c>
      <c r="AV42" s="23">
        <f t="shared" si="50"/>
      </c>
      <c r="AW42" s="31">
        <f t="shared" si="51"/>
        <v>0.8770678998748341</v>
      </c>
      <c r="AX42" s="21">
        <f t="shared" si="52"/>
        <v>-208.79263291516747</v>
      </c>
      <c r="AY42" s="33">
        <f t="shared" si="53"/>
      </c>
      <c r="AZ42" s="22">
        <f t="shared" si="54"/>
        <v>-208.79263291516747</v>
      </c>
      <c r="BA42" s="34">
        <f t="shared" si="55"/>
      </c>
      <c r="BB42" s="21">
        <f t="shared" si="56"/>
        <v>-208.79263291516747</v>
      </c>
      <c r="BC42" s="33">
        <f t="shared" si="8"/>
      </c>
      <c r="BD42" s="33"/>
      <c r="BE42" s="34">
        <f t="shared" si="9"/>
      </c>
      <c r="BF42" s="37">
        <f t="shared" si="10"/>
        <v>0</v>
      </c>
      <c r="BG42" s="37">
        <f t="shared" si="11"/>
        <v>0</v>
      </c>
      <c r="BH42" s="38">
        <f t="shared" si="12"/>
        <v>-208.79263291516747</v>
      </c>
      <c r="BI42" s="38">
        <f t="shared" si="13"/>
        <v>-300</v>
      </c>
      <c r="BJ42" s="42">
        <f t="shared" si="57"/>
        <v>39.87778821825925</v>
      </c>
      <c r="BK42" s="42">
        <f t="shared" si="58"/>
        <v>0</v>
      </c>
      <c r="BL42" s="43">
        <f t="shared" si="14"/>
        <v>-208.79263291516747</v>
      </c>
      <c r="BM42" s="43">
        <f t="shared" si="15"/>
        <v>-300</v>
      </c>
      <c r="BN42" s="42">
        <f t="shared" si="59"/>
        <v>1000</v>
      </c>
      <c r="BO42" s="42">
        <f t="shared" si="60"/>
        <v>-51</v>
      </c>
      <c r="BP42" s="42">
        <f t="shared" si="16"/>
      </c>
      <c r="BQ42" s="42">
        <f t="shared" si="17"/>
      </c>
      <c r="BR42" s="42">
        <f t="shared" si="18"/>
      </c>
      <c r="BS42" s="42">
        <f t="shared" si="19"/>
      </c>
      <c r="BT42" s="42">
        <f t="shared" si="20"/>
      </c>
      <c r="BU42" s="42">
        <f t="shared" si="21"/>
      </c>
      <c r="BV42" s="42">
        <f t="shared" si="22"/>
      </c>
      <c r="BW42" s="42">
        <f t="shared" si="23"/>
      </c>
      <c r="BX42" s="42">
        <f t="shared" si="24"/>
      </c>
      <c r="BY42" s="45">
        <f t="shared" si="25"/>
        <v>-208.79263291516747</v>
      </c>
      <c r="BZ42" s="46">
        <f t="shared" si="26"/>
        <v>-300</v>
      </c>
      <c r="CA42" s="54">
        <f t="shared" si="27"/>
      </c>
      <c r="CB42" s="54">
        <f t="shared" si="28"/>
      </c>
      <c r="CC42" s="54">
        <f t="shared" si="29"/>
      </c>
      <c r="CD42" s="54">
        <f t="shared" si="30"/>
      </c>
      <c r="CE42" s="54">
        <f t="shared" si="31"/>
      </c>
      <c r="CF42" s="55">
        <f t="shared" si="32"/>
      </c>
      <c r="CG42" s="55">
        <f t="shared" si="33"/>
      </c>
      <c r="CH42">
        <f t="shared" si="34"/>
        <v>-208.79263291516747</v>
      </c>
      <c r="CI42">
        <f t="shared" si="35"/>
        <v>-300</v>
      </c>
    </row>
    <row r="43" spans="1:87" ht="13.5">
      <c r="A43" s="9">
        <v>0.76</v>
      </c>
      <c r="B43" s="7">
        <f t="shared" si="61"/>
        <v>-50</v>
      </c>
      <c r="C43" s="7">
        <f t="shared" si="62"/>
        <v>-86</v>
      </c>
      <c r="D43" s="1">
        <f t="shared" si="63"/>
        <v>316.87426379499794</v>
      </c>
      <c r="E43">
        <f t="shared" si="86"/>
        <v>300</v>
      </c>
      <c r="F43">
        <f t="shared" si="64"/>
        <v>126.78397167323737</v>
      </c>
      <c r="G43">
        <f t="shared" si="65"/>
        <v>100</v>
      </c>
      <c r="H43">
        <f t="shared" si="86"/>
        <v>100</v>
      </c>
      <c r="I43">
        <f t="shared" si="84"/>
        <v>1.515</v>
      </c>
      <c r="J43">
        <f t="shared" si="67"/>
        <v>0.606159924971858</v>
      </c>
      <c r="K43">
        <f t="shared" si="37"/>
        <v>0.7621366994766346</v>
      </c>
      <c r="L43" s="7">
        <f t="shared" si="68"/>
        <v>18.831476113216837</v>
      </c>
      <c r="M43" s="7">
        <f t="shared" si="69"/>
        <v>-1981.3190776890915</v>
      </c>
      <c r="N43" s="43">
        <f t="shared" si="70"/>
        <v>-291.41467099463597</v>
      </c>
      <c r="O43" s="43">
        <f t="shared" si="71"/>
        <v>-340</v>
      </c>
      <c r="P43" s="43">
        <f t="shared" si="72"/>
        <v>-274.93875600734697</v>
      </c>
      <c r="Q43" s="43">
        <f t="shared" si="73"/>
        <v>-340</v>
      </c>
      <c r="R43" s="2">
        <f t="shared" si="74"/>
        <v>48.21474059964607</v>
      </c>
      <c r="S43">
        <f t="shared" si="87"/>
        <v>0</v>
      </c>
      <c r="T43">
        <f t="shared" si="88"/>
        <v>1.333</v>
      </c>
      <c r="U43">
        <f t="shared" si="85"/>
        <v>1.333</v>
      </c>
      <c r="V43">
        <f t="shared" si="0"/>
        <v>0.6889214451105513</v>
      </c>
      <c r="W43" s="7">
        <f t="shared" si="1"/>
        <v>0.76</v>
      </c>
      <c r="X43">
        <f t="shared" si="38"/>
        <v>0.950451460608803</v>
      </c>
      <c r="Y43" s="10">
        <f t="shared" si="39"/>
        <v>0.76</v>
      </c>
      <c r="Z43">
        <f t="shared" si="78"/>
        <v>-220.44478259570582</v>
      </c>
      <c r="AA43">
        <f t="shared" si="79"/>
        <v>-300</v>
      </c>
      <c r="AB43" s="7">
        <f t="shared" si="80"/>
        <v>1000</v>
      </c>
      <c r="AC43">
        <f t="shared" si="81"/>
        <v>-51</v>
      </c>
      <c r="AD43">
        <f t="shared" si="82"/>
        <v>1.375</v>
      </c>
      <c r="AE43">
        <f t="shared" si="83"/>
        <v>49.9999999999999</v>
      </c>
      <c r="AF43" s="10">
        <f t="shared" si="40"/>
        <v>1.903357978973407</v>
      </c>
      <c r="AG43" s="10">
        <f t="shared" si="41"/>
        <v>-951.7852594003539</v>
      </c>
      <c r="AH43" s="10">
        <f t="shared" si="42"/>
        <v>-1707.2513799659896</v>
      </c>
      <c r="AI43" s="10">
        <f t="shared" si="43"/>
        <v>905996.180011799</v>
      </c>
      <c r="AJ43" s="10">
        <f t="shared" si="44"/>
        <v>-3983032.9581837626</v>
      </c>
      <c r="AK43">
        <f t="shared" si="2"/>
        <v>-300</v>
      </c>
      <c r="AL43">
        <f t="shared" si="3"/>
        <v>-300</v>
      </c>
      <c r="AM43" s="10">
        <f t="shared" si="4"/>
        <v>-59501.00000000001</v>
      </c>
      <c r="AN43" s="10">
        <f t="shared" si="5"/>
        <v>-59501.00000000001</v>
      </c>
      <c r="AO43" s="21">
        <f t="shared" si="6"/>
        <v>-220.44478259570582</v>
      </c>
      <c r="AP43" s="22">
        <f t="shared" si="7"/>
        <v>-220.44478259570582</v>
      </c>
      <c r="AQ43" s="22">
        <f t="shared" si="45"/>
        <v>-220.44478259570582</v>
      </c>
      <c r="AR43" s="23">
        <f t="shared" si="46"/>
        <v>-220.44478259570582</v>
      </c>
      <c r="AS43" s="28">
        <f t="shared" si="47"/>
      </c>
      <c r="AT43" s="22">
        <f t="shared" si="48"/>
      </c>
      <c r="AU43" s="22">
        <f t="shared" si="49"/>
      </c>
      <c r="AV43" s="23">
        <f t="shared" si="50"/>
      </c>
      <c r="AW43" s="31">
        <f t="shared" si="51"/>
        <v>0.950451460608803</v>
      </c>
      <c r="AX43" s="21">
        <f t="shared" si="52"/>
        <v>-220.44478259570582</v>
      </c>
      <c r="AY43" s="33">
        <f t="shared" si="53"/>
      </c>
      <c r="AZ43" s="22">
        <f t="shared" si="54"/>
        <v>-220.44478259570582</v>
      </c>
      <c r="BA43" s="34">
        <f t="shared" si="55"/>
      </c>
      <c r="BB43" s="21">
        <f t="shared" si="56"/>
        <v>-220.44478259570582</v>
      </c>
      <c r="BC43" s="33">
        <f t="shared" si="8"/>
      </c>
      <c r="BD43" s="33"/>
      <c r="BE43" s="34">
        <f t="shared" si="9"/>
      </c>
      <c r="BF43" s="37">
        <f t="shared" si="10"/>
        <v>0</v>
      </c>
      <c r="BG43" s="37">
        <f t="shared" si="11"/>
        <v>0</v>
      </c>
      <c r="BH43" s="38">
        <f t="shared" si="12"/>
        <v>-220.44478259570582</v>
      </c>
      <c r="BI43" s="38">
        <f t="shared" si="13"/>
        <v>-300</v>
      </c>
      <c r="BJ43" s="42">
        <f t="shared" si="57"/>
        <v>48.21474059964607</v>
      </c>
      <c r="BK43" s="42">
        <f t="shared" si="58"/>
        <v>0</v>
      </c>
      <c r="BL43" s="43">
        <f t="shared" si="14"/>
        <v>-220.44478259570582</v>
      </c>
      <c r="BM43" s="43">
        <f t="shared" si="15"/>
        <v>-300</v>
      </c>
      <c r="BN43" s="42">
        <f t="shared" si="59"/>
        <v>1000</v>
      </c>
      <c r="BO43" s="42">
        <f t="shared" si="60"/>
        <v>-51</v>
      </c>
      <c r="BP43" s="42">
        <f t="shared" si="16"/>
      </c>
      <c r="BQ43" s="42">
        <f t="shared" si="17"/>
      </c>
      <c r="BR43" s="42">
        <f t="shared" si="18"/>
      </c>
      <c r="BS43" s="42">
        <f t="shared" si="19"/>
      </c>
      <c r="BT43" s="42">
        <f t="shared" si="20"/>
      </c>
      <c r="BU43" s="42">
        <f t="shared" si="21"/>
      </c>
      <c r="BV43" s="42">
        <f t="shared" si="22"/>
      </c>
      <c r="BW43" s="42">
        <f t="shared" si="23"/>
      </c>
      <c r="BX43" s="42">
        <f t="shared" si="24"/>
      </c>
      <c r="BY43" s="45">
        <f t="shared" si="25"/>
        <v>-220.44478259570582</v>
      </c>
      <c r="BZ43" s="46">
        <f t="shared" si="26"/>
        <v>-300</v>
      </c>
      <c r="CA43" s="54">
        <f t="shared" si="27"/>
      </c>
      <c r="CB43" s="54">
        <f t="shared" si="28"/>
      </c>
      <c r="CC43" s="54">
        <f t="shared" si="29"/>
      </c>
      <c r="CD43" s="54">
        <f t="shared" si="30"/>
      </c>
      <c r="CE43" s="54">
        <f t="shared" si="31"/>
      </c>
      <c r="CF43" s="55">
        <f t="shared" si="32"/>
      </c>
      <c r="CG43" s="55">
        <f t="shared" si="33"/>
      </c>
      <c r="CH43">
        <f t="shared" si="34"/>
        <v>-220.44478259570582</v>
      </c>
      <c r="CI43">
        <f t="shared" si="35"/>
        <v>-300</v>
      </c>
    </row>
    <row r="44" spans="1:87" ht="13.5">
      <c r="A44" s="9">
        <v>0.8</v>
      </c>
      <c r="B44" s="7">
        <f t="shared" si="61"/>
        <v>-50</v>
      </c>
      <c r="C44" s="7">
        <f t="shared" si="62"/>
        <v>-86</v>
      </c>
      <c r="D44" s="1">
        <f t="shared" si="63"/>
        <v>347.44048302144057</v>
      </c>
      <c r="E44">
        <f t="shared" si="86"/>
        <v>300</v>
      </c>
      <c r="F44">
        <f t="shared" si="64"/>
        <v>141.51277161136773</v>
      </c>
      <c r="G44">
        <f>G43</f>
        <v>100</v>
      </c>
      <c r="H44">
        <f t="shared" si="86"/>
        <v>100</v>
      </c>
      <c r="I44">
        <f t="shared" si="84"/>
        <v>1.515</v>
      </c>
      <c r="J44">
        <f t="shared" si="67"/>
        <v>0.6311786595175339</v>
      </c>
      <c r="K44">
        <f t="shared" si="37"/>
        <v>0.8137547193285455</v>
      </c>
      <c r="L44" s="7">
        <f t="shared" si="68"/>
        <v>21.588383772181864</v>
      </c>
      <c r="M44" s="7">
        <f>-H44*L44/TAN(A44)</f>
        <v>-2096.695352398879</v>
      </c>
      <c r="N44" s="43">
        <f t="shared" si="70"/>
        <v>-311.5281934907925</v>
      </c>
      <c r="O44" s="43">
        <f t="shared" si="71"/>
        <v>-340</v>
      </c>
      <c r="P44" s="43">
        <f t="shared" si="72"/>
        <v>-292.6967173775756</v>
      </c>
      <c r="Q44" s="43">
        <f t="shared" si="73"/>
        <v>-340</v>
      </c>
      <c r="R44" s="2">
        <f>(S44-C44)*TAN(A44)+B44+L43</f>
        <v>57.380392019548154</v>
      </c>
      <c r="S44">
        <f t="shared" si="87"/>
        <v>0</v>
      </c>
      <c r="T44">
        <f t="shared" si="88"/>
        <v>1.333</v>
      </c>
      <c r="U44">
        <f t="shared" si="85"/>
        <v>1.333</v>
      </c>
      <c r="V44">
        <f t="shared" si="0"/>
        <v>0.7173560908995228</v>
      </c>
      <c r="W44" s="7">
        <f t="shared" si="1"/>
        <v>0.8</v>
      </c>
      <c r="X44">
        <f t="shared" si="38"/>
        <v>1.0296385570503641</v>
      </c>
      <c r="Y44" s="10">
        <f t="shared" si="39"/>
        <v>0.8</v>
      </c>
      <c r="Z44">
        <f t="shared" si="78"/>
        <v>-232.67969898234426</v>
      </c>
      <c r="AA44">
        <f t="shared" si="79"/>
        <v>-300</v>
      </c>
      <c r="AB44" s="7">
        <f t="shared" si="80"/>
        <v>1000</v>
      </c>
      <c r="AC44">
        <f t="shared" si="81"/>
        <v>-51</v>
      </c>
      <c r="AD44">
        <f t="shared" si="82"/>
        <v>1.375</v>
      </c>
      <c r="AE44">
        <f t="shared" si="83"/>
        <v>49.9999999999999</v>
      </c>
      <c r="AF44" s="10">
        <f t="shared" si="40"/>
        <v>2.060155558164756</v>
      </c>
      <c r="AG44" s="10">
        <f t="shared" si="41"/>
        <v>-942.6196079804519</v>
      </c>
      <c r="AH44" s="10">
        <f t="shared" si="42"/>
        <v>-1839.1149860167448</v>
      </c>
      <c r="AI44" s="10">
        <f t="shared" si="43"/>
        <v>888632.7253492208</v>
      </c>
      <c r="AJ44" s="10">
        <f t="shared" si="44"/>
        <v>-3940542.6613897984</v>
      </c>
      <c r="AK44">
        <f t="shared" si="2"/>
        <v>-300</v>
      </c>
      <c r="AL44">
        <f t="shared" si="3"/>
        <v>-300</v>
      </c>
      <c r="AM44" s="10">
        <f t="shared" si="4"/>
        <v>-59501.00000000001</v>
      </c>
      <c r="AN44" s="10">
        <f t="shared" si="5"/>
        <v>-59501.00000000001</v>
      </c>
      <c r="AO44" s="24">
        <f t="shared" si="6"/>
        <v>-232.67969898234426</v>
      </c>
      <c r="AP44" s="25">
        <f t="shared" si="7"/>
        <v>-232.67969898234426</v>
      </c>
      <c r="AQ44" s="25">
        <f t="shared" si="45"/>
        <v>-232.67969898234426</v>
      </c>
      <c r="AR44" s="26">
        <f t="shared" si="46"/>
        <v>-232.67969898234426</v>
      </c>
      <c r="AS44" s="29">
        <f t="shared" si="47"/>
      </c>
      <c r="AT44" s="25">
        <f t="shared" si="48"/>
      </c>
      <c r="AU44" s="25">
        <f t="shared" si="49"/>
      </c>
      <c r="AV44" s="26">
        <f t="shared" si="50"/>
      </c>
      <c r="AW44" s="32">
        <f t="shared" si="51"/>
        <v>1.0296385570503641</v>
      </c>
      <c r="AX44" s="24">
        <f t="shared" si="52"/>
        <v>-232.67969898234426</v>
      </c>
      <c r="AY44" s="35">
        <f t="shared" si="53"/>
      </c>
      <c r="AZ44" s="25">
        <f t="shared" si="54"/>
        <v>-232.67969898234426</v>
      </c>
      <c r="BA44" s="36">
        <f t="shared" si="55"/>
      </c>
      <c r="BB44" s="24">
        <f t="shared" si="56"/>
        <v>-232.67969898234426</v>
      </c>
      <c r="BC44" s="35">
        <f t="shared" si="8"/>
      </c>
      <c r="BD44" s="35"/>
      <c r="BE44" s="36">
        <f t="shared" si="9"/>
      </c>
      <c r="BF44" s="37">
        <f t="shared" si="10"/>
        <v>0</v>
      </c>
      <c r="BG44" s="37">
        <f t="shared" si="11"/>
        <v>0</v>
      </c>
      <c r="BH44" s="38">
        <f t="shared" si="12"/>
        <v>-232.67969898234426</v>
      </c>
      <c r="BI44" s="38">
        <f t="shared" si="13"/>
        <v>-300</v>
      </c>
      <c r="BJ44" s="42">
        <f t="shared" si="57"/>
        <v>57.380392019548154</v>
      </c>
      <c r="BK44" s="42">
        <f t="shared" si="58"/>
        <v>0</v>
      </c>
      <c r="BL44" s="43">
        <f t="shared" si="14"/>
        <v>-232.67969898234426</v>
      </c>
      <c r="BM44" s="43">
        <f t="shared" si="15"/>
        <v>-300</v>
      </c>
      <c r="BN44" s="42">
        <f t="shared" si="59"/>
        <v>1000</v>
      </c>
      <c r="BO44" s="42">
        <f t="shared" si="60"/>
        <v>-51</v>
      </c>
      <c r="BP44" s="42">
        <f t="shared" si="16"/>
      </c>
      <c r="BQ44" s="42">
        <f t="shared" si="17"/>
      </c>
      <c r="BR44" s="42">
        <f t="shared" si="18"/>
      </c>
      <c r="BS44" s="42">
        <f t="shared" si="19"/>
      </c>
      <c r="BT44" s="42">
        <f t="shared" si="20"/>
      </c>
      <c r="BU44" s="42">
        <f t="shared" si="21"/>
      </c>
      <c r="BV44" s="42">
        <f t="shared" si="22"/>
      </c>
      <c r="BW44" s="42">
        <f t="shared" si="23"/>
      </c>
      <c r="BX44" s="42">
        <f t="shared" si="24"/>
      </c>
      <c r="BY44" s="45">
        <f t="shared" si="25"/>
        <v>-232.67969898234426</v>
      </c>
      <c r="BZ44" s="46">
        <f t="shared" si="26"/>
        <v>-300</v>
      </c>
      <c r="CA44" s="54">
        <f t="shared" si="27"/>
      </c>
      <c r="CB44" s="54">
        <f t="shared" si="28"/>
      </c>
      <c r="CC44" s="54">
        <f t="shared" si="29"/>
      </c>
      <c r="CD44" s="54">
        <f t="shared" si="30"/>
      </c>
      <c r="CE44" s="54">
        <f t="shared" si="31"/>
      </c>
      <c r="CF44" s="55">
        <f t="shared" si="32"/>
      </c>
      <c r="CG44" s="55">
        <f t="shared" si="33"/>
      </c>
      <c r="CH44">
        <f t="shared" si="34"/>
        <v>-232.67969898234426</v>
      </c>
      <c r="CI44">
        <f t="shared" si="35"/>
        <v>-300</v>
      </c>
    </row>
    <row r="45" spans="34:87" ht="13.5">
      <c r="AH45" s="10"/>
      <c r="CI45">
        <f>IF(CA45&lt;&gt;"",BZ45-CG45*CE45,AA45)</f>
        <v>0</v>
      </c>
    </row>
  </sheetData>
  <sheetProtection/>
  <mergeCells count="38">
    <mergeCell ref="CA1:CI2"/>
    <mergeCell ref="U1:U2"/>
    <mergeCell ref="AB1:AE2"/>
    <mergeCell ref="X1:X2"/>
    <mergeCell ref="Z1:AA2"/>
    <mergeCell ref="AM1:AN2"/>
    <mergeCell ref="AQ1:AR2"/>
    <mergeCell ref="AX1:BA2"/>
    <mergeCell ref="AO1:AP2"/>
    <mergeCell ref="AF1:AF2"/>
    <mergeCell ref="AH1:AH2"/>
    <mergeCell ref="AI1:AI2"/>
    <mergeCell ref="AK1:AL2"/>
    <mergeCell ref="B1:C2"/>
    <mergeCell ref="D1:E2"/>
    <mergeCell ref="R1:S2"/>
    <mergeCell ref="T1:T2"/>
    <mergeCell ref="P1:Q2"/>
    <mergeCell ref="I1:I2"/>
    <mergeCell ref="J1:J2"/>
    <mergeCell ref="K1:K2"/>
    <mergeCell ref="M1:M2"/>
    <mergeCell ref="H1:H2"/>
    <mergeCell ref="L1:L2"/>
    <mergeCell ref="N1:O2"/>
    <mergeCell ref="AJ1:AJ3"/>
    <mergeCell ref="AG1:AG3"/>
    <mergeCell ref="F1:G2"/>
    <mergeCell ref="BS1:BZ2"/>
    <mergeCell ref="AS1:AT2"/>
    <mergeCell ref="AU1:AV2"/>
    <mergeCell ref="BG1:BG3"/>
    <mergeCell ref="BH1:BI2"/>
    <mergeCell ref="BJ1:BO2"/>
    <mergeCell ref="BP1:BR2"/>
    <mergeCell ref="AW1:AW2"/>
    <mergeCell ref="BB1:BE2"/>
    <mergeCell ref="BF1:BF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TOKYO, KOMABA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Kamimura</dc:creator>
  <cp:keywords/>
  <dc:description/>
  <cp:lastModifiedBy>Kamimura</cp:lastModifiedBy>
  <dcterms:created xsi:type="dcterms:W3CDTF">2009-04-21T00:28:57Z</dcterms:created>
  <dcterms:modified xsi:type="dcterms:W3CDTF">2012-03-16T08:44:36Z</dcterms:modified>
  <cp:category/>
  <cp:version/>
  <cp:contentType/>
  <cp:contentStatus/>
</cp:coreProperties>
</file>